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Inga\Desktop\2025-2027 SVP\SVP projektas derinamas\2025-01-30\"/>
    </mc:Choice>
  </mc:AlternateContent>
  <xr:revisionPtr revIDLastSave="0" documentId="8_{8F83E988-965D-42F8-8943-ABDE5179CD8B}" xr6:coauthVersionLast="47" xr6:coauthVersionMax="47" xr10:uidLastSave="{00000000-0000-0000-0000-000000000000}"/>
  <bookViews>
    <workbookView xWindow="-108" yWindow="-108" windowWidth="41496" windowHeight="16896" tabRatio="896" xr2:uid="{00000000-000D-0000-FFFF-FFFF00000000}"/>
  </bookViews>
  <sheets>
    <sheet name="I skyrius " sheetId="30" r:id="rId1"/>
    <sheet name="II skyrius" sheetId="31" r:id="rId2"/>
    <sheet name="III skyrius. 2023-2030  m. " sheetId="61" r:id="rId3"/>
    <sheet name="IV skyrius" sheetId="58" r:id="rId4"/>
    <sheet name="V skyrius. Programos" sheetId="34" r:id="rId5"/>
    <sheet name="1 programa " sheetId="56" r:id="rId6"/>
    <sheet name="2 programa " sheetId="45" r:id="rId7"/>
    <sheet name="ĮV-E-123 stebėsenos rodikliai" sheetId="55" r:id="rId8"/>
    <sheet name="3 programa" sheetId="46" r:id="rId9"/>
    <sheet name="4 programa" sheetId="47" r:id="rId10"/>
    <sheet name="5 programa" sheetId="48" r:id="rId11"/>
    <sheet name="6 programa" sheetId="49" r:id="rId12"/>
    <sheet name="7 programa" sheetId="50" r:id="rId13"/>
    <sheet name="8 programa" sheetId="51" r:id="rId14"/>
    <sheet name="9 programa" sheetId="52" r:id="rId15"/>
    <sheet name="10 programa" sheetId="54" r:id="rId16"/>
    <sheet name="VI skyrius VŠĮ+UAB rodikliai" sheetId="40" r:id="rId17"/>
    <sheet name="VII skyrius. Kita svarbi info" sheetId="42" r:id="rId18"/>
    <sheet name="Suvestinė pagal FŠ" sheetId="60" state="hidden" r:id="rId19"/>
    <sheet name="Vertinimo kriterijai" sheetId="27" state="hidden" r:id="rId20"/>
    <sheet name="Lapas3" sheetId="29" state="hidden" r:id="rId21"/>
  </sheets>
  <externalReferences>
    <externalReference r:id="rId22"/>
  </externalReferences>
  <definedNames>
    <definedName name="_xlnm._FilterDatabase" localSheetId="16" hidden="1">'VI skyrius VŠĮ+UAB rodikliai'!$A$6:$J$8</definedName>
    <definedName name="_Hlk122275804" localSheetId="1">'II skyrius'!$S$126</definedName>
    <definedName name="_Hlk89418331" localSheetId="16">'VI skyrius VŠĮ+UAB rodikliai'!#REF!</definedName>
    <definedName name="_Hlk92374825" localSheetId="16">'VI skyrius VŠĮ+UAB rodikliai'!#REF!</definedName>
    <definedName name="_Hlk92374960" localSheetId="16">'VI skyrius VŠĮ+UAB rodikliai'!$C$22</definedName>
    <definedName name="_Hlk92375563" localSheetId="16">'VI skyrius VŠĮ+UAB rodikliai'!$C$35</definedName>
    <definedName name="_Hlk92375700" localSheetId="16">'VI skyrius VŠĮ+UAB rodikliai'!$C$69</definedName>
    <definedName name="_Hlk92375786" localSheetId="16">'VI skyrius VŠĮ+UAB rodikliai'!#REF!</definedName>
    <definedName name="_Hlk92376639" localSheetId="16">'VI skyrius VŠĮ+UAB rodikliai'!$C$47</definedName>
    <definedName name="_Toc123901348" localSheetId="17">'VII skyrius. Kita svarbi info'!#REF!</definedName>
    <definedName name="_Toc123901357" localSheetId="17">'VII skyrius. Kita svarbi info'!#REF!</definedName>
    <definedName name="_Toc123901359" localSheetId="16">'VI skyrius VŠĮ+UAB rodikliai'!$C$171</definedName>
    <definedName name="_Toc506024955" localSheetId="19">'Vertinimo kriterijai'!$A$1</definedName>
    <definedName name="Excel_BuiltIn__FilterDatabase_2">#REF!</definedName>
    <definedName name="_xlnm.Print_Area" localSheetId="5">'1 programa '!$A$1:$V$219</definedName>
    <definedName name="_xlnm.Print_Area" localSheetId="15">'10 programa'!$A$1:$V$267</definedName>
    <definedName name="_xlnm.Print_Area" localSheetId="10">'5 programa'!$A$1:$Y$87</definedName>
    <definedName name="_xlnm.Print_Area" localSheetId="12">'7 programa'!$A$1:$W$168</definedName>
    <definedName name="_xlnm.Print_Area" localSheetId="0">'I skyrius '!$B$1:$L$23</definedName>
    <definedName name="_xlnm.Print_Area" localSheetId="1">'II skyrius'!$C$1:$M$87</definedName>
    <definedName name="_xlnm.Print_Area" localSheetId="3">'IV skyrius'!$B$1:$P$55</definedName>
    <definedName name="_xlnm.Print_Area" localSheetId="4">'V skyrius. Programos'!$F$3:$L$43</definedName>
    <definedName name="_xlnm.Print_Area" localSheetId="17">'VII skyrius. Kita svarbi info'!$A$1:$H$34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2" i="61" l="1"/>
  <c r="X12" i="61" l="1"/>
  <c r="T12" i="61"/>
  <c r="K155" i="50"/>
  <c r="L130" i="49"/>
  <c r="L310" i="45"/>
  <c r="M162" i="49" l="1"/>
  <c r="M128" i="49"/>
  <c r="L128" i="49"/>
  <c r="L175" i="49"/>
  <c r="K20" i="56" l="1"/>
  <c r="M19" i="56"/>
  <c r="L19" i="49"/>
  <c r="L47" i="49"/>
  <c r="L189" i="49"/>
  <c r="L202" i="56"/>
  <c r="M202" i="56"/>
  <c r="L201" i="56"/>
  <c r="K189" i="49"/>
  <c r="K190" i="49"/>
  <c r="L60" i="49" l="1"/>
  <c r="L184" i="49"/>
  <c r="L190" i="49"/>
  <c r="L192" i="49" s="1"/>
  <c r="L200" i="56"/>
  <c r="L48" i="46"/>
  <c r="L52" i="46" s="1"/>
  <c r="L78" i="46"/>
  <c r="L75" i="46"/>
  <c r="K50" i="46"/>
  <c r="K78" i="46" s="1"/>
  <c r="K49" i="46"/>
  <c r="L284" i="49"/>
  <c r="K284" i="49"/>
  <c r="M190" i="49"/>
  <c r="M175" i="49"/>
  <c r="M143" i="49"/>
  <c r="L143" i="49"/>
  <c r="K75" i="46" l="1"/>
  <c r="L174" i="49" l="1"/>
  <c r="L177" i="49" s="1"/>
  <c r="M28" i="50"/>
  <c r="M146" i="50"/>
  <c r="M141" i="50"/>
  <c r="I130" i="52"/>
  <c r="I175" i="52"/>
  <c r="J85" i="52" l="1"/>
  <c r="L282" i="49" l="1"/>
  <c r="M282" i="49"/>
  <c r="L23" i="49" l="1"/>
  <c r="L348" i="45"/>
  <c r="L344" i="45"/>
  <c r="M344" i="45"/>
  <c r="M259" i="54" l="1"/>
  <c r="L199" i="49" l="1"/>
  <c r="L200" i="49" s="1"/>
  <c r="M199" i="49"/>
  <c r="M200" i="49" s="1"/>
  <c r="M338" i="45"/>
  <c r="M231" i="45"/>
  <c r="L82" i="45"/>
  <c r="M88" i="45"/>
  <c r="M82" i="45" s="1"/>
  <c r="M112" i="45"/>
  <c r="M94" i="45"/>
  <c r="L160" i="45" l="1"/>
  <c r="M160" i="45"/>
  <c r="L32" i="34" l="1"/>
  <c r="M32" i="34"/>
  <c r="M37" i="50" l="1"/>
  <c r="L37" i="50"/>
  <c r="L28" i="50"/>
  <c r="M18" i="50"/>
  <c r="L18" i="50"/>
  <c r="L160" i="50"/>
  <c r="K19" i="56" l="1"/>
  <c r="K206" i="56" l="1"/>
  <c r="K268" i="54"/>
  <c r="G24" i="60"/>
  <c r="H22" i="60"/>
  <c r="H24" i="60" s="1"/>
  <c r="K69" i="47"/>
  <c r="AQ22" i="60"/>
  <c r="AP22" i="60"/>
  <c r="G10" i="60"/>
  <c r="K161" i="49"/>
  <c r="K224" i="45"/>
  <c r="M167" i="54" l="1"/>
  <c r="L167" i="54"/>
  <c r="K136" i="49" l="1"/>
  <c r="K308" i="45"/>
  <c r="K23" i="49" l="1"/>
  <c r="AS13" i="60" l="1"/>
  <c r="AG13" i="60"/>
  <c r="AF13" i="60"/>
  <c r="K162" i="51" l="1"/>
  <c r="K130" i="49"/>
  <c r="L279" i="45" l="1"/>
  <c r="BF16" i="60" l="1"/>
  <c r="BG16" i="60"/>
  <c r="BE31" i="60"/>
  <c r="L259" i="54" l="1"/>
  <c r="BE16" i="60" l="1"/>
  <c r="BF15" i="60"/>
  <c r="BG15" i="60"/>
  <c r="BF14" i="60"/>
  <c r="BG14" i="60"/>
  <c r="BE14" i="60"/>
  <c r="BF13" i="60"/>
  <c r="BG13" i="60"/>
  <c r="BE13" i="60"/>
  <c r="BF7" i="60"/>
  <c r="BG7" i="60"/>
  <c r="BE7" i="60"/>
  <c r="BF29" i="60"/>
  <c r="BG29" i="60"/>
  <c r="BE29" i="60"/>
  <c r="BF30" i="60"/>
  <c r="BG30" i="60"/>
  <c r="BE30" i="60"/>
  <c r="BF31" i="60"/>
  <c r="BG31" i="60"/>
  <c r="BF22" i="60"/>
  <c r="BG22" i="60"/>
  <c r="BE22" i="60"/>
  <c r="AP13" i="60"/>
  <c r="AO13" i="60"/>
  <c r="AP10" i="60"/>
  <c r="AO10" i="60"/>
  <c r="J196" i="52"/>
  <c r="I196" i="52"/>
  <c r="L262" i="54"/>
  <c r="AP34" i="60"/>
  <c r="AQ34" i="60"/>
  <c r="AO34" i="60"/>
  <c r="AP31" i="60"/>
  <c r="AQ31" i="60"/>
  <c r="AO31" i="60"/>
  <c r="AP28" i="60"/>
  <c r="AQ28" i="60"/>
  <c r="AO28" i="60"/>
  <c r="AO25" i="60"/>
  <c r="AO22" i="60"/>
  <c r="AO9" i="60"/>
  <c r="AO8" i="60"/>
  <c r="AP7" i="60"/>
  <c r="AQ7" i="60"/>
  <c r="AO7" i="60"/>
  <c r="M262" i="54"/>
  <c r="K262" i="54"/>
  <c r="H196" i="52"/>
  <c r="I197" i="52"/>
  <c r="J197" i="52"/>
  <c r="L161" i="51"/>
  <c r="M161" i="51"/>
  <c r="K161" i="51"/>
  <c r="K282" i="49"/>
  <c r="L76" i="46"/>
  <c r="K76" i="46"/>
  <c r="K348" i="45"/>
  <c r="M63" i="54"/>
  <c r="K72" i="54"/>
  <c r="M51" i="54"/>
  <c r="L51" i="54"/>
  <c r="M57" i="54"/>
  <c r="L57" i="54"/>
  <c r="J124" i="52"/>
  <c r="I124" i="52"/>
  <c r="I31" i="52"/>
  <c r="J31" i="52"/>
  <c r="J25" i="52"/>
  <c r="I25" i="52"/>
  <c r="L59" i="51"/>
  <c r="M232" i="49"/>
  <c r="L36" i="34" l="1"/>
  <c r="BE33" i="60"/>
  <c r="AP38" i="60"/>
  <c r="AP40" i="60" s="1"/>
  <c r="AQ13" i="60"/>
  <c r="M52" i="46"/>
  <c r="M76" i="46"/>
  <c r="BI14" i="60"/>
  <c r="BF33" i="60"/>
  <c r="BG33" i="60"/>
  <c r="AO38" i="60"/>
  <c r="AO40" i="60" l="1"/>
  <c r="P47" i="60"/>
  <c r="M263" i="54"/>
  <c r="L219" i="54"/>
  <c r="K219" i="54"/>
  <c r="L72" i="54"/>
  <c r="M72" i="54"/>
  <c r="I118" i="52"/>
  <c r="J118" i="52"/>
  <c r="H118" i="52"/>
  <c r="L162" i="51"/>
  <c r="M162" i="51"/>
  <c r="K125" i="56"/>
  <c r="K122" i="56"/>
  <c r="K95" i="54"/>
  <c r="K96" i="56"/>
  <c r="L96" i="56"/>
  <c r="M96" i="56"/>
  <c r="J96" i="56"/>
  <c r="L26" i="56" l="1"/>
  <c r="L19" i="56" s="1"/>
  <c r="L32" i="56"/>
  <c r="K21" i="56" l="1"/>
  <c r="K23" i="56" s="1"/>
  <c r="L226" i="45" l="1"/>
  <c r="M226" i="45"/>
  <c r="K226" i="45"/>
  <c r="M79" i="45"/>
  <c r="M343" i="45" s="1"/>
  <c r="L79" i="45"/>
  <c r="L343" i="45" s="1"/>
  <c r="K285" i="45" l="1"/>
  <c r="AC22" i="60"/>
  <c r="AC7" i="60"/>
  <c r="AC34" i="60"/>
  <c r="K225" i="45"/>
  <c r="K17" i="45"/>
  <c r="K148" i="54"/>
  <c r="AJ25" i="60" l="1"/>
  <c r="AM25" i="60"/>
  <c r="AK25" i="60"/>
  <c r="AL25" i="60"/>
  <c r="S10" i="60"/>
  <c r="T10" i="60"/>
  <c r="R10" i="60"/>
  <c r="O34" i="60"/>
  <c r="P34" i="60"/>
  <c r="K38" i="54"/>
  <c r="O7" i="60"/>
  <c r="P7" i="60"/>
  <c r="N7" i="60"/>
  <c r="K202" i="56"/>
  <c r="M94" i="56"/>
  <c r="L94" i="56"/>
  <c r="K94" i="56"/>
  <c r="J94" i="56"/>
  <c r="H94" i="56"/>
  <c r="K344" i="45"/>
  <c r="K32" i="34" s="1"/>
  <c r="K82" i="45"/>
  <c r="K60" i="49"/>
  <c r="K175" i="49"/>
  <c r="K199" i="49"/>
  <c r="K200" i="49" s="1"/>
  <c r="K19" i="49"/>
  <c r="O31" i="60"/>
  <c r="P31" i="60"/>
  <c r="N31" i="60"/>
  <c r="L224" i="45"/>
  <c r="M224" i="45"/>
  <c r="L61" i="49"/>
  <c r="L279" i="49" s="1"/>
  <c r="M61" i="49"/>
  <c r="K61" i="49"/>
  <c r="S31" i="60"/>
  <c r="T31" i="60"/>
  <c r="R31" i="60"/>
  <c r="I193" i="52"/>
  <c r="J193" i="52"/>
  <c r="I192" i="52"/>
  <c r="I191" i="52" s="1"/>
  <c r="J192" i="52"/>
  <c r="J191" i="52" s="1"/>
  <c r="H193" i="52"/>
  <c r="H192" i="52"/>
  <c r="K79" i="45"/>
  <c r="M201" i="56"/>
  <c r="K201" i="56"/>
  <c r="K200" i="56" s="1"/>
  <c r="L334" i="45"/>
  <c r="L345" i="45" s="1"/>
  <c r="L342" i="45" s="1"/>
  <c r="M334" i="45"/>
  <c r="M345" i="45" s="1"/>
  <c r="M342" i="45" s="1"/>
  <c r="K334" i="45"/>
  <c r="K345" i="45" s="1"/>
  <c r="L88" i="49"/>
  <c r="M88" i="49"/>
  <c r="K88" i="49"/>
  <c r="F34" i="60"/>
  <c r="F36" i="60" s="1"/>
  <c r="K275" i="45"/>
  <c r="K279" i="45" s="1"/>
  <c r="K247" i="45"/>
  <c r="K202" i="45"/>
  <c r="K206" i="45"/>
  <c r="L321" i="45"/>
  <c r="K260" i="45"/>
  <c r="K259" i="54" l="1"/>
  <c r="N34" i="60"/>
  <c r="K279" i="49"/>
  <c r="K349" i="45"/>
  <c r="N10" i="60"/>
  <c r="M200" i="56"/>
  <c r="P10" i="60"/>
  <c r="O10" i="60"/>
  <c r="H191" i="52"/>
  <c r="I94" i="56"/>
  <c r="H140" i="52" l="1"/>
  <c r="K34" i="51"/>
  <c r="K45" i="51"/>
  <c r="L45" i="51"/>
  <c r="M45" i="51"/>
  <c r="J45" i="51"/>
  <c r="L43" i="51"/>
  <c r="M43" i="51"/>
  <c r="J43" i="51"/>
  <c r="L34" i="51"/>
  <c r="M34" i="51"/>
  <c r="K104" i="49"/>
  <c r="L79" i="51" l="1"/>
  <c r="M79" i="51"/>
  <c r="K79" i="51"/>
  <c r="K89" i="51"/>
  <c r="L89" i="51"/>
  <c r="M89" i="51"/>
  <c r="J89" i="51"/>
  <c r="J79" i="51"/>
  <c r="J78" i="51"/>
  <c r="K62" i="51"/>
  <c r="L62" i="51"/>
  <c r="M62" i="51"/>
  <c r="J62" i="51"/>
  <c r="K61" i="51"/>
  <c r="J61" i="51"/>
  <c r="K46" i="51"/>
  <c r="K47" i="51" s="1"/>
  <c r="L46" i="51"/>
  <c r="L47" i="51" s="1"/>
  <c r="M46" i="51"/>
  <c r="M47" i="51" s="1"/>
  <c r="J46" i="51"/>
  <c r="J47" i="51" s="1"/>
  <c r="K36" i="51"/>
  <c r="K35" i="51"/>
  <c r="M157" i="51" l="1"/>
  <c r="L157" i="51"/>
  <c r="J80" i="51"/>
  <c r="M174" i="49"/>
  <c r="M177" i="49" l="1"/>
  <c r="G34" i="60"/>
  <c r="G36" i="60" s="1"/>
  <c r="H34" i="60"/>
  <c r="H36" i="60" s="1"/>
  <c r="G31" i="60"/>
  <c r="G33" i="60" s="1"/>
  <c r="H31" i="60"/>
  <c r="H33" i="60" s="1"/>
  <c r="G28" i="60"/>
  <c r="G30" i="60" s="1"/>
  <c r="H28" i="60"/>
  <c r="H30" i="60" s="1"/>
  <c r="AG7" i="60"/>
  <c r="AH7" i="60"/>
  <c r="AG31" i="60"/>
  <c r="AH31" i="60"/>
  <c r="AG34" i="60"/>
  <c r="AH34" i="60"/>
  <c r="F28" i="60" l="1"/>
  <c r="F30" i="60" s="1"/>
  <c r="F7" i="60"/>
  <c r="F9" i="60" s="1"/>
  <c r="G7" i="60"/>
  <c r="G9" i="60" s="1"/>
  <c r="K131" i="49"/>
  <c r="J34" i="51"/>
  <c r="L37" i="51"/>
  <c r="M37" i="51"/>
  <c r="K233" i="45" l="1"/>
  <c r="K147" i="54"/>
  <c r="K135" i="54"/>
  <c r="L250" i="54"/>
  <c r="M250" i="54"/>
  <c r="K250" i="54"/>
  <c r="L240" i="54"/>
  <c r="M240" i="54"/>
  <c r="K240" i="54"/>
  <c r="L130" i="54"/>
  <c r="M130" i="54"/>
  <c r="K130" i="54"/>
  <c r="K110" i="54"/>
  <c r="J90" i="54"/>
  <c r="AF34" i="60"/>
  <c r="J68" i="54"/>
  <c r="M37" i="54" l="1"/>
  <c r="L37" i="54"/>
  <c r="W34" i="60" l="1"/>
  <c r="L39" i="54"/>
  <c r="X34" i="60"/>
  <c r="M39" i="54"/>
  <c r="I85" i="52"/>
  <c r="I70" i="52"/>
  <c r="J70" i="52"/>
  <c r="H73" i="52"/>
  <c r="H68" i="52"/>
  <c r="I73" i="52"/>
  <c r="J73" i="52"/>
  <c r="G73" i="52"/>
  <c r="AF31" i="60"/>
  <c r="AA31" i="60"/>
  <c r="AB31" i="60"/>
  <c r="W31" i="60"/>
  <c r="X31" i="60"/>
  <c r="J194" i="52"/>
  <c r="I194" i="52"/>
  <c r="AC31" i="60" l="1"/>
  <c r="Z31" i="60"/>
  <c r="V31" i="60"/>
  <c r="M158" i="51" l="1"/>
  <c r="L160" i="51"/>
  <c r="M160" i="51"/>
  <c r="AG28" i="60"/>
  <c r="AH28" i="60"/>
  <c r="AF28" i="60"/>
  <c r="K160" i="51"/>
  <c r="M28" i="51"/>
  <c r="L28" i="51"/>
  <c r="K28" i="51"/>
  <c r="J28" i="51"/>
  <c r="X28" i="60" l="1"/>
  <c r="V28" i="60"/>
  <c r="W28" i="60"/>
  <c r="K20" i="51" l="1"/>
  <c r="K78" i="51"/>
  <c r="L60" i="51"/>
  <c r="M60" i="51"/>
  <c r="L20" i="51"/>
  <c r="M20" i="51"/>
  <c r="K99" i="51"/>
  <c r="L164" i="50"/>
  <c r="M164" i="50"/>
  <c r="K164" i="50"/>
  <c r="S25" i="60"/>
  <c r="T25" i="60"/>
  <c r="R25" i="60"/>
  <c r="K57" i="50"/>
  <c r="K53" i="50"/>
  <c r="K49" i="50"/>
  <c r="I230" i="49"/>
  <c r="I229" i="49"/>
  <c r="I227" i="49"/>
  <c r="I205" i="49"/>
  <c r="I203" i="49"/>
  <c r="I186" i="49"/>
  <c r="I185" i="49"/>
  <c r="I183" i="49"/>
  <c r="I182" i="49"/>
  <c r="I158" i="49"/>
  <c r="I152" i="49"/>
  <c r="I149" i="49"/>
  <c r="I146" i="49"/>
  <c r="I142" i="49"/>
  <c r="I141" i="49"/>
  <c r="I140" i="49"/>
  <c r="I137" i="49"/>
  <c r="I135" i="49"/>
  <c r="I131" i="49"/>
  <c r="I128" i="49"/>
  <c r="I125" i="49"/>
  <c r="I124" i="49"/>
  <c r="I117" i="49"/>
  <c r="I115" i="49"/>
  <c r="I113" i="49"/>
  <c r="I112" i="49"/>
  <c r="I102" i="49"/>
  <c r="I100" i="49"/>
  <c r="I98" i="49"/>
  <c r="I97" i="49"/>
  <c r="I93" i="49"/>
  <c r="I42" i="49"/>
  <c r="I41" i="49"/>
  <c r="I35" i="49"/>
  <c r="W22" i="60"/>
  <c r="X22" i="60"/>
  <c r="K17" i="49"/>
  <c r="K32" i="49"/>
  <c r="V22" i="60"/>
  <c r="K16" i="49"/>
  <c r="M16" i="49"/>
  <c r="L16" i="49"/>
  <c r="AT22" i="60"/>
  <c r="AU22" i="60"/>
  <c r="AS22" i="60"/>
  <c r="M284" i="49"/>
  <c r="M265" i="49"/>
  <c r="L265" i="49"/>
  <c r="K265" i="49"/>
  <c r="I265" i="49" s="1"/>
  <c r="K264" i="49"/>
  <c r="K263" i="49"/>
  <c r="I263" i="49" s="1"/>
  <c r="K273" i="49"/>
  <c r="L233" i="49"/>
  <c r="M233" i="49"/>
  <c r="K233" i="49"/>
  <c r="L208" i="49"/>
  <c r="K207" i="49"/>
  <c r="L161" i="49"/>
  <c r="M161" i="49"/>
  <c r="L136" i="49"/>
  <c r="L20" i="49"/>
  <c r="M20" i="49"/>
  <c r="M19" i="49"/>
  <c r="M279" i="49" s="1"/>
  <c r="L17" i="49"/>
  <c r="L280" i="49" s="1"/>
  <c r="M17" i="49"/>
  <c r="J114" i="49"/>
  <c r="L273" i="49"/>
  <c r="M273" i="49"/>
  <c r="J273" i="49"/>
  <c r="K267" i="49"/>
  <c r="L267" i="49"/>
  <c r="M267" i="49"/>
  <c r="J267" i="49"/>
  <c r="J268" i="49" s="1"/>
  <c r="L268" i="49" l="1"/>
  <c r="M268" i="49"/>
  <c r="I233" i="49"/>
  <c r="K283" i="49"/>
  <c r="L21" i="49"/>
  <c r="M21" i="49"/>
  <c r="I207" i="49"/>
  <c r="BE12" i="60"/>
  <c r="K157" i="51"/>
  <c r="AM28" i="60"/>
  <c r="AM38" i="60" s="1"/>
  <c r="K80" i="51"/>
  <c r="K156" i="51"/>
  <c r="AJ28" i="60"/>
  <c r="AJ38" i="60" s="1"/>
  <c r="P46" i="60" s="1"/>
  <c r="AB22" i="60"/>
  <c r="K268" i="49"/>
  <c r="M280" i="49"/>
  <c r="K37" i="51"/>
  <c r="L83" i="48"/>
  <c r="M83" i="48"/>
  <c r="K83" i="48"/>
  <c r="L81" i="48"/>
  <c r="AG19" i="60" s="1"/>
  <c r="M81" i="48"/>
  <c r="AH19" i="60" s="1"/>
  <c r="K81" i="48"/>
  <c r="AF19" i="60" s="1"/>
  <c r="J22" i="47"/>
  <c r="L22" i="47"/>
  <c r="AT16" i="60" s="1"/>
  <c r="M22" i="47"/>
  <c r="AU16" i="60" s="1"/>
  <c r="K22" i="47"/>
  <c r="AS16" i="60" s="1"/>
  <c r="BI12" i="60" l="1"/>
  <c r="L37" i="47" l="1"/>
  <c r="M37" i="47"/>
  <c r="K37" i="47"/>
  <c r="I64" i="46" l="1"/>
  <c r="I39" i="46"/>
  <c r="L15" i="46"/>
  <c r="M15" i="46"/>
  <c r="K15" i="46"/>
  <c r="K13" i="60" l="1"/>
  <c r="L13" i="60"/>
  <c r="J13" i="60"/>
  <c r="K14" i="46"/>
  <c r="L73" i="46"/>
  <c r="M73" i="46"/>
  <c r="K73" i="46"/>
  <c r="G14" i="60"/>
  <c r="K63" i="46"/>
  <c r="L60" i="46"/>
  <c r="M60" i="46"/>
  <c r="K60" i="46"/>
  <c r="L55" i="46"/>
  <c r="M55" i="46"/>
  <c r="K53" i="46"/>
  <c r="J63" i="46"/>
  <c r="M63" i="46"/>
  <c r="L63" i="46"/>
  <c r="H63" i="46"/>
  <c r="G63" i="46"/>
  <c r="E63" i="46"/>
  <c r="F61" i="46"/>
  <c r="K55" i="46" l="1"/>
  <c r="K47" i="46"/>
  <c r="L72" i="46"/>
  <c r="L31" i="34"/>
  <c r="H13" i="60"/>
  <c r="M77" i="46"/>
  <c r="BG9" i="60"/>
  <c r="K72" i="46"/>
  <c r="M72" i="46"/>
  <c r="M31" i="34"/>
  <c r="M75" i="46"/>
  <c r="AH13" i="60"/>
  <c r="G13" i="60"/>
  <c r="G15" i="60" s="1"/>
  <c r="L77" i="46"/>
  <c r="BF9" i="60"/>
  <c r="M78" i="46"/>
  <c r="AT13" i="60"/>
  <c r="H14" i="60"/>
  <c r="F63" i="46"/>
  <c r="H15" i="60" l="1"/>
  <c r="K52" i="46"/>
  <c r="K77" i="46"/>
  <c r="BE9" i="60"/>
  <c r="AU13" i="60"/>
  <c r="F13" i="60"/>
  <c r="K66" i="46"/>
  <c r="L66" i="46"/>
  <c r="M66" i="46"/>
  <c r="J66" i="46"/>
  <c r="K26" i="46"/>
  <c r="AF7" i="60"/>
  <c r="S7" i="60"/>
  <c r="T7" i="60"/>
  <c r="R7" i="60"/>
  <c r="H7" i="60"/>
  <c r="M163" i="56"/>
  <c r="L163" i="56"/>
  <c r="K163" i="56"/>
  <c r="L20" i="56"/>
  <c r="L203" i="56" s="1"/>
  <c r="M20" i="56"/>
  <c r="AB7" i="60" l="1"/>
  <c r="M203" i="56"/>
  <c r="AA7" i="60"/>
  <c r="H9" i="60"/>
  <c r="X7" i="60"/>
  <c r="W7" i="60"/>
  <c r="F15" i="60"/>
  <c r="V7" i="60"/>
  <c r="M23" i="56"/>
  <c r="L23" i="56"/>
  <c r="K20" i="45" l="1"/>
  <c r="K18" i="45"/>
  <c r="K16" i="45"/>
  <c r="K81" i="45"/>
  <c r="I332" i="45"/>
  <c r="I311" i="45"/>
  <c r="I277" i="45"/>
  <c r="I271" i="45"/>
  <c r="I241" i="45"/>
  <c r="I204" i="45"/>
  <c r="H206" i="45"/>
  <c r="I206" i="45" s="1"/>
  <c r="H202" i="45"/>
  <c r="H279" i="45"/>
  <c r="AC10" i="60" l="1"/>
  <c r="AC38" i="60" s="1"/>
  <c r="I285" i="45"/>
  <c r="V10" i="60"/>
  <c r="J84" i="45" l="1"/>
  <c r="L326" i="45"/>
  <c r="M308" i="45"/>
  <c r="H10" i="60" s="1"/>
  <c r="M306" i="45"/>
  <c r="K306" i="45"/>
  <c r="I306" i="45" s="1"/>
  <c r="M326" i="45"/>
  <c r="K326" i="45"/>
  <c r="J326" i="45"/>
  <c r="M321" i="45"/>
  <c r="K321" i="45"/>
  <c r="J321" i="45"/>
  <c r="M316" i="45"/>
  <c r="L316" i="45"/>
  <c r="K316" i="45"/>
  <c r="J316" i="45"/>
  <c r="L287" i="45"/>
  <c r="M287" i="45"/>
  <c r="K287" i="45"/>
  <c r="I287" i="45" s="1"/>
  <c r="L285" i="45"/>
  <c r="M285" i="45"/>
  <c r="M278" i="45" s="1"/>
  <c r="K305" i="45"/>
  <c r="M305" i="45"/>
  <c r="L305" i="45"/>
  <c r="J305" i="45"/>
  <c r="M300" i="45"/>
  <c r="L300" i="45"/>
  <c r="K300" i="45"/>
  <c r="J300" i="45"/>
  <c r="M295" i="45"/>
  <c r="L295" i="45"/>
  <c r="K295" i="45"/>
  <c r="J295" i="45"/>
  <c r="I275" i="45"/>
  <c r="G279" i="45"/>
  <c r="E279" i="45"/>
  <c r="M348" i="45" l="1"/>
  <c r="M36" i="34" s="1"/>
  <c r="M279" i="45"/>
  <c r="AQ10" i="60"/>
  <c r="AQ38" i="60" s="1"/>
  <c r="AQ40" i="60" s="1"/>
  <c r="F10" i="60"/>
  <c r="BE8" i="60"/>
  <c r="M310" i="45"/>
  <c r="I308" i="45"/>
  <c r="I202" i="45"/>
  <c r="M248" i="45"/>
  <c r="L248" i="45"/>
  <c r="K248" i="45"/>
  <c r="I248" i="45" s="1"/>
  <c r="M247" i="45"/>
  <c r="L247" i="45"/>
  <c r="I247" i="45"/>
  <c r="M246" i="45"/>
  <c r="L246" i="45"/>
  <c r="K246" i="45"/>
  <c r="I246" i="45" s="1"/>
  <c r="J248" i="45"/>
  <c r="J247" i="45"/>
  <c r="J246" i="45"/>
  <c r="K270" i="45"/>
  <c r="M270" i="45"/>
  <c r="L270" i="45"/>
  <c r="J270" i="45"/>
  <c r="K265" i="45"/>
  <c r="M265" i="45"/>
  <c r="L265" i="45"/>
  <c r="J265" i="45"/>
  <c r="J260" i="45"/>
  <c r="M260" i="45"/>
  <c r="L260" i="45"/>
  <c r="K255" i="45"/>
  <c r="L255" i="45"/>
  <c r="M255" i="45"/>
  <c r="J255" i="45"/>
  <c r="K207" i="45"/>
  <c r="L207" i="45"/>
  <c r="M207" i="45"/>
  <c r="J207" i="45"/>
  <c r="L206" i="45"/>
  <c r="M206" i="45"/>
  <c r="J206" i="45"/>
  <c r="L202" i="45"/>
  <c r="M202" i="45"/>
  <c r="J202" i="45"/>
  <c r="K212" i="45"/>
  <c r="K218" i="45"/>
  <c r="L347" i="45" l="1"/>
  <c r="M347" i="45"/>
  <c r="BG8" i="60"/>
  <c r="M349" i="45"/>
  <c r="BF8" i="60"/>
  <c r="L349" i="45"/>
  <c r="BI8" i="60"/>
  <c r="F12" i="60"/>
  <c r="G12" i="60"/>
  <c r="H12" i="60"/>
  <c r="AG10" i="60"/>
  <c r="AH10" i="60"/>
  <c r="K208" i="45"/>
  <c r="K347" i="45"/>
  <c r="AF10" i="60"/>
  <c r="M208" i="45"/>
  <c r="J250" i="45"/>
  <c r="L250" i="45"/>
  <c r="K250" i="45"/>
  <c r="M250" i="45"/>
  <c r="J208" i="45"/>
  <c r="K10" i="60" l="1"/>
  <c r="K38" i="60" s="1"/>
  <c r="K40" i="60" s="1"/>
  <c r="L10" i="60"/>
  <c r="L38" i="60" s="1"/>
  <c r="L40" i="60" s="1"/>
  <c r="K343" i="45"/>
  <c r="J10" i="60" l="1"/>
  <c r="K31" i="34"/>
  <c r="M244" i="45"/>
  <c r="L225" i="45"/>
  <c r="M225" i="45"/>
  <c r="L223" i="45"/>
  <c r="M223" i="45"/>
  <c r="M240" i="45"/>
  <c r="L240" i="45"/>
  <c r="K240" i="45"/>
  <c r="J240" i="45"/>
  <c r="I240" i="45"/>
  <c r="L232" i="45"/>
  <c r="I238" i="45"/>
  <c r="J238" i="45"/>
  <c r="K238" i="45"/>
  <c r="L238" i="45"/>
  <c r="M238" i="45"/>
  <c r="H238" i="45"/>
  <c r="I235" i="45"/>
  <c r="J235" i="45"/>
  <c r="L235" i="45"/>
  <c r="M235" i="45"/>
  <c r="I232" i="45"/>
  <c r="J232" i="45"/>
  <c r="K232" i="45"/>
  <c r="M232" i="45"/>
  <c r="K235" i="45"/>
  <c r="L193" i="45"/>
  <c r="L196" i="45" s="1"/>
  <c r="M193" i="45"/>
  <c r="M196" i="45" s="1"/>
  <c r="K193" i="45"/>
  <c r="I193" i="45" s="1"/>
  <c r="L81" i="45"/>
  <c r="M81" i="45"/>
  <c r="M84" i="45" s="1"/>
  <c r="J38" i="60" l="1"/>
  <c r="J40" i="60" s="1"/>
  <c r="M227" i="45"/>
  <c r="L227" i="45"/>
  <c r="K223" i="45"/>
  <c r="K227" i="45" l="1"/>
  <c r="B52" i="60"/>
  <c r="C52" i="60"/>
  <c r="D52" i="60"/>
  <c r="C51" i="60"/>
  <c r="D51" i="60"/>
  <c r="B51" i="60"/>
  <c r="C50" i="60"/>
  <c r="D50" i="60"/>
  <c r="B50" i="60"/>
  <c r="J16" i="45"/>
  <c r="L16" i="45"/>
  <c r="M16" i="45"/>
  <c r="X10" i="60" l="1"/>
  <c r="W10" i="60"/>
  <c r="C53" i="60"/>
  <c r="D53" i="60"/>
  <c r="B53" i="60"/>
  <c r="H194" i="45"/>
  <c r="I194" i="45" s="1"/>
  <c r="L176" i="45"/>
  <c r="M176" i="45"/>
  <c r="K176" i="45"/>
  <c r="L20" i="45"/>
  <c r="M20" i="45"/>
  <c r="J20" i="45"/>
  <c r="I160" i="45"/>
  <c r="J160" i="45"/>
  <c r="K160" i="45"/>
  <c r="I156" i="45"/>
  <c r="J156" i="45"/>
  <c r="K156" i="45"/>
  <c r="L156" i="45"/>
  <c r="M156" i="45"/>
  <c r="I144" i="45"/>
  <c r="J144" i="45"/>
  <c r="K144" i="45"/>
  <c r="L144" i="45"/>
  <c r="M144" i="45"/>
  <c r="I138" i="45"/>
  <c r="J138" i="45"/>
  <c r="K138" i="45"/>
  <c r="L138" i="45"/>
  <c r="M138" i="45"/>
  <c r="I132" i="45"/>
  <c r="J132" i="45"/>
  <c r="K132" i="45"/>
  <c r="L132" i="45"/>
  <c r="M132" i="45"/>
  <c r="I126" i="45"/>
  <c r="J126" i="45"/>
  <c r="K126" i="45"/>
  <c r="L126" i="45"/>
  <c r="M126" i="45"/>
  <c r="I120" i="45"/>
  <c r="J120" i="45"/>
  <c r="K120" i="45"/>
  <c r="L120" i="45"/>
  <c r="M120" i="45"/>
  <c r="I114" i="45"/>
  <c r="J114" i="45"/>
  <c r="K114" i="45"/>
  <c r="L114" i="45"/>
  <c r="M114" i="45"/>
  <c r="I108" i="45"/>
  <c r="J108" i="45"/>
  <c r="K108" i="45"/>
  <c r="L108" i="45"/>
  <c r="M108" i="45"/>
  <c r="I78" i="45"/>
  <c r="J78" i="45"/>
  <c r="K78" i="45"/>
  <c r="L78" i="45"/>
  <c r="M78" i="45"/>
  <c r="I96" i="45"/>
  <c r="J96" i="45"/>
  <c r="K96" i="45"/>
  <c r="L96" i="45"/>
  <c r="M96" i="45"/>
  <c r="I90" i="45"/>
  <c r="J90" i="45"/>
  <c r="K90" i="45"/>
  <c r="L90" i="45"/>
  <c r="M90" i="45"/>
  <c r="L18" i="45"/>
  <c r="M18" i="45"/>
  <c r="J17" i="45"/>
  <c r="L17" i="45"/>
  <c r="M17" i="45"/>
  <c r="J18" i="45"/>
  <c r="K195" i="45"/>
  <c r="L346" i="45" l="1"/>
  <c r="M346" i="45"/>
  <c r="AA10" i="60"/>
  <c r="Z10" i="60"/>
  <c r="AD10" i="60" s="1"/>
  <c r="K346" i="45"/>
  <c r="K196" i="45"/>
  <c r="M21" i="45"/>
  <c r="K203" i="56"/>
  <c r="J20" i="56"/>
  <c r="AB10" i="60" l="1"/>
  <c r="L135" i="54"/>
  <c r="M135" i="54"/>
  <c r="L110" i="54"/>
  <c r="M110" i="54"/>
  <c r="J68" i="46" l="1"/>
  <c r="D25" i="60" l="1"/>
  <c r="H162" i="52"/>
  <c r="M170" i="54"/>
  <c r="J147" i="54"/>
  <c r="L136" i="54"/>
  <c r="M136" i="54"/>
  <c r="K136" i="54"/>
  <c r="I136" i="54"/>
  <c r="D27" i="60" l="1"/>
  <c r="J110" i="54"/>
  <c r="L25" i="54"/>
  <c r="M25" i="54"/>
  <c r="K25" i="54"/>
  <c r="J178" i="52"/>
  <c r="I60" i="52"/>
  <c r="J60" i="52"/>
  <c r="H60" i="52"/>
  <c r="M113" i="51"/>
  <c r="L98" i="51"/>
  <c r="M98" i="51"/>
  <c r="M156" i="51" s="1"/>
  <c r="L97" i="51"/>
  <c r="M97" i="51"/>
  <c r="K97" i="51"/>
  <c r="K101" i="51" s="1"/>
  <c r="K60" i="51"/>
  <c r="K132" i="51"/>
  <c r="L132" i="51"/>
  <c r="M132" i="51"/>
  <c r="J132" i="51"/>
  <c r="L119" i="49"/>
  <c r="M119" i="49"/>
  <c r="K119" i="49"/>
  <c r="I119" i="49" s="1"/>
  <c r="L108" i="49"/>
  <c r="M108" i="49"/>
  <c r="K108" i="49"/>
  <c r="I108" i="49" s="1"/>
  <c r="M47" i="49"/>
  <c r="K47" i="49"/>
  <c r="L49" i="48"/>
  <c r="L78" i="48" s="1"/>
  <c r="K93" i="47"/>
  <c r="L48" i="47"/>
  <c r="M48" i="47"/>
  <c r="K48" i="47"/>
  <c r="L42" i="47"/>
  <c r="M42" i="47"/>
  <c r="K42" i="47"/>
  <c r="L38" i="47"/>
  <c r="M38" i="47"/>
  <c r="L68" i="46"/>
  <c r="M68" i="46"/>
  <c r="K68" i="46"/>
  <c r="L41" i="46"/>
  <c r="M41" i="46"/>
  <c r="K41" i="46"/>
  <c r="L14" i="46"/>
  <c r="M14" i="46"/>
  <c r="J162" i="45"/>
  <c r="L162" i="45"/>
  <c r="L341" i="45" s="1"/>
  <c r="M162" i="45"/>
  <c r="M341" i="45" s="1"/>
  <c r="K162" i="45"/>
  <c r="J165" i="45"/>
  <c r="J164" i="45"/>
  <c r="K148" i="56"/>
  <c r="M16" i="46" l="1"/>
  <c r="I41" i="46"/>
  <c r="K71" i="46"/>
  <c r="B13" i="60"/>
  <c r="AW13" i="60" s="1"/>
  <c r="C10" i="60"/>
  <c r="C12" i="60" s="1"/>
  <c r="K341" i="45"/>
  <c r="J356" i="45" s="1"/>
  <c r="B10" i="60"/>
  <c r="B12" i="60" s="1"/>
  <c r="D10" i="60"/>
  <c r="K150" i="50"/>
  <c r="L150" i="50"/>
  <c r="M150" i="50"/>
  <c r="K141" i="50"/>
  <c r="L141" i="50"/>
  <c r="J141" i="50"/>
  <c r="J142" i="50" s="1"/>
  <c r="K107" i="50"/>
  <c r="K105" i="50"/>
  <c r="K103" i="50"/>
  <c r="K101" i="50"/>
  <c r="K99" i="50"/>
  <c r="K97" i="50"/>
  <c r="K94" i="50" s="1"/>
  <c r="K138" i="50"/>
  <c r="K134" i="50"/>
  <c r="K87" i="50"/>
  <c r="K83" i="50"/>
  <c r="L60" i="50"/>
  <c r="K84" i="46" l="1"/>
  <c r="B15" i="60"/>
  <c r="K70" i="46"/>
  <c r="K79" i="46" s="1"/>
  <c r="K87" i="46" s="1"/>
  <c r="K89" i="46" s="1"/>
  <c r="D12" i="60"/>
  <c r="K73" i="50"/>
  <c r="K69" i="50"/>
  <c r="K65" i="50"/>
  <c r="K44" i="50"/>
  <c r="L44" i="50"/>
  <c r="M44" i="50"/>
  <c r="K43" i="50"/>
  <c r="L43" i="50"/>
  <c r="M43" i="50"/>
  <c r="K41" i="50"/>
  <c r="F25" i="60" s="1"/>
  <c r="F27" i="60" s="1"/>
  <c r="L41" i="50"/>
  <c r="M41" i="50"/>
  <c r="J43" i="50"/>
  <c r="H25" i="60" l="1"/>
  <c r="AZ13" i="60"/>
  <c r="M45" i="50"/>
  <c r="L45" i="50"/>
  <c r="K45" i="50"/>
  <c r="H27" i="60" l="1"/>
  <c r="H38" i="60"/>
  <c r="H40" i="60" s="1"/>
  <c r="K21" i="50"/>
  <c r="K172" i="49"/>
  <c r="K168" i="49"/>
  <c r="J284" i="49"/>
  <c r="J280" i="49"/>
  <c r="J60" i="49"/>
  <c r="J62" i="49" s="1"/>
  <c r="J234" i="49"/>
  <c r="J232" i="49"/>
  <c r="K232" i="49"/>
  <c r="L232" i="49"/>
  <c r="J206" i="49"/>
  <c r="K206" i="49"/>
  <c r="L206" i="49"/>
  <c r="M206" i="49"/>
  <c r="J188" i="49"/>
  <c r="K188" i="49"/>
  <c r="L188" i="49"/>
  <c r="M188" i="49"/>
  <c r="J143" i="49" l="1"/>
  <c r="J101" i="49" l="1"/>
  <c r="J135" i="54" l="1"/>
  <c r="J136" i="54" s="1"/>
  <c r="J95" i="54"/>
  <c r="M90" i="54"/>
  <c r="M101" i="49"/>
  <c r="K191" i="56"/>
  <c r="J109" i="49" l="1"/>
  <c r="K109" i="49"/>
  <c r="L109" i="49"/>
  <c r="M109" i="49"/>
  <c r="K74" i="49" l="1"/>
  <c r="K278" i="49" s="1"/>
  <c r="K277" i="49" s="1"/>
  <c r="L74" i="49"/>
  <c r="M74" i="49"/>
  <c r="M76" i="49" s="1"/>
  <c r="J74" i="49"/>
  <c r="M60" i="49"/>
  <c r="J59" i="49"/>
  <c r="K59" i="49"/>
  <c r="L59" i="49"/>
  <c r="M59" i="49"/>
  <c r="M278" i="49" l="1"/>
  <c r="M277" i="49" s="1"/>
  <c r="L76" i="49"/>
  <c r="L278" i="49"/>
  <c r="T22" i="60"/>
  <c r="T38" i="60" s="1"/>
  <c r="S22" i="60"/>
  <c r="S38" i="60" s="1"/>
  <c r="R22" i="60"/>
  <c r="R38" i="60" s="1"/>
  <c r="R40" i="60" s="1"/>
  <c r="P44" i="60" s="1"/>
  <c r="K76" i="49"/>
  <c r="M62" i="49"/>
  <c r="L62" i="49"/>
  <c r="K62" i="49"/>
  <c r="J76" i="49"/>
  <c r="J278" i="49"/>
  <c r="J83" i="48"/>
  <c r="J81" i="48"/>
  <c r="K71" i="48"/>
  <c r="L71" i="48"/>
  <c r="M71" i="48"/>
  <c r="J71" i="48"/>
  <c r="J36" i="48"/>
  <c r="L30" i="34" l="1"/>
  <c r="L277" i="49"/>
  <c r="J203" i="56"/>
  <c r="J200" i="56"/>
  <c r="Z7" i="60"/>
  <c r="AD7" i="60" l="1"/>
  <c r="F75" i="56"/>
  <c r="I75" i="56"/>
  <c r="K151" i="56"/>
  <c r="L151" i="56"/>
  <c r="M151" i="56"/>
  <c r="K150" i="56"/>
  <c r="K152" i="56" s="1"/>
  <c r="L150" i="56"/>
  <c r="M150" i="56"/>
  <c r="L149" i="56"/>
  <c r="L206" i="56" s="1"/>
  <c r="M149" i="56"/>
  <c r="M206" i="56" s="1"/>
  <c r="L148" i="56"/>
  <c r="M148" i="56"/>
  <c r="J148" i="56"/>
  <c r="J151" i="56"/>
  <c r="J204" i="56" s="1"/>
  <c r="J150" i="56"/>
  <c r="J149" i="56"/>
  <c r="J206" i="56" s="1"/>
  <c r="J180" i="56"/>
  <c r="L159" i="56"/>
  <c r="M159" i="56"/>
  <c r="K159" i="56"/>
  <c r="J159" i="56"/>
  <c r="K157" i="56"/>
  <c r="L157" i="56"/>
  <c r="M157" i="56"/>
  <c r="J157" i="56"/>
  <c r="K204" i="56" l="1"/>
  <c r="L152" i="56"/>
  <c r="M204" i="56"/>
  <c r="M152" i="56"/>
  <c r="L204" i="56"/>
  <c r="L132" i="56" l="1"/>
  <c r="M132" i="56"/>
  <c r="K132" i="56"/>
  <c r="J263" i="54" l="1"/>
  <c r="J262" i="54"/>
  <c r="K260" i="54"/>
  <c r="Z34" i="60" s="1"/>
  <c r="L260" i="54"/>
  <c r="AA34" i="60" s="1"/>
  <c r="M260" i="54"/>
  <c r="AB34" i="60" s="1"/>
  <c r="J260" i="54"/>
  <c r="J259" i="54"/>
  <c r="F36" i="52"/>
  <c r="M49" i="48"/>
  <c r="M78" i="48" s="1"/>
  <c r="K49" i="48"/>
  <c r="B19" i="60" l="1"/>
  <c r="B21" i="60" s="1"/>
  <c r="K78" i="48"/>
  <c r="K94" i="48" s="1"/>
  <c r="J74" i="45"/>
  <c r="K74" i="45"/>
  <c r="L74" i="45"/>
  <c r="M74" i="45"/>
  <c r="J70" i="45" l="1"/>
  <c r="K70" i="45"/>
  <c r="L70" i="45"/>
  <c r="M70" i="45"/>
  <c r="I65" i="45"/>
  <c r="J65" i="45"/>
  <c r="K65" i="45"/>
  <c r="L65" i="45"/>
  <c r="M65" i="45"/>
  <c r="J59" i="45"/>
  <c r="K59" i="45"/>
  <c r="L59" i="45"/>
  <c r="M59" i="45"/>
  <c r="I54" i="45"/>
  <c r="J54" i="45"/>
  <c r="K54" i="45"/>
  <c r="L54" i="45"/>
  <c r="M54" i="45"/>
  <c r="J50" i="45"/>
  <c r="K50" i="45"/>
  <c r="L50" i="45"/>
  <c r="M50" i="45"/>
  <c r="I40" i="45" l="1"/>
  <c r="J40" i="45"/>
  <c r="K40" i="45"/>
  <c r="L40" i="45"/>
  <c r="M40" i="45"/>
  <c r="E40" i="45"/>
  <c r="G40" i="45"/>
  <c r="L147" i="54" l="1"/>
  <c r="M147" i="54"/>
  <c r="J102" i="45"/>
  <c r="K102" i="45"/>
  <c r="L102" i="45"/>
  <c r="M102" i="45"/>
  <c r="I35" i="45"/>
  <c r="J35" i="45"/>
  <c r="K35" i="45"/>
  <c r="L35" i="45"/>
  <c r="M35" i="45"/>
  <c r="J30" i="45"/>
  <c r="K30" i="45"/>
  <c r="L30" i="45"/>
  <c r="M30" i="45"/>
  <c r="J25" i="45" l="1"/>
  <c r="K25" i="45"/>
  <c r="L25" i="45"/>
  <c r="M25" i="45"/>
  <c r="M184" i="49" l="1"/>
  <c r="M145" i="49"/>
  <c r="M118" i="49"/>
  <c r="M116" i="49"/>
  <c r="M114" i="49"/>
  <c r="L21" i="50"/>
  <c r="M21" i="50"/>
  <c r="K159" i="50"/>
  <c r="L159" i="50"/>
  <c r="M159" i="50"/>
  <c r="K158" i="50"/>
  <c r="L158" i="50"/>
  <c r="M158" i="50"/>
  <c r="J159" i="50"/>
  <c r="J158" i="50"/>
  <c r="J160" i="50"/>
  <c r="H158" i="50"/>
  <c r="H157" i="50" s="1"/>
  <c r="I89" i="50"/>
  <c r="I43" i="50"/>
  <c r="I39" i="50"/>
  <c r="I37" i="50"/>
  <c r="I31" i="50"/>
  <c r="I30" i="50"/>
  <c r="I28" i="50"/>
  <c r="I27" i="50"/>
  <c r="I14" i="50"/>
  <c r="I33" i="48"/>
  <c r="M142" i="50"/>
  <c r="M29" i="50"/>
  <c r="M26" i="50"/>
  <c r="M17" i="50"/>
  <c r="J165" i="50"/>
  <c r="J164" i="50"/>
  <c r="K160" i="50"/>
  <c r="K30" i="34" s="1"/>
  <c r="M160" i="50"/>
  <c r="M30" i="34" s="1"/>
  <c r="M28" i="34" l="1"/>
  <c r="M157" i="50"/>
  <c r="K28" i="34"/>
  <c r="I158" i="50"/>
  <c r="M165" i="50"/>
  <c r="K220" i="49" l="1"/>
  <c r="I220" i="49" s="1"/>
  <c r="L220" i="49"/>
  <c r="L276" i="49" s="1"/>
  <c r="M220" i="49"/>
  <c r="J220" i="49"/>
  <c r="J118" i="49"/>
  <c r="K104" i="47" l="1"/>
  <c r="L99" i="47"/>
  <c r="M99" i="47"/>
  <c r="K99" i="47"/>
  <c r="L93" i="47"/>
  <c r="L94" i="47" s="1"/>
  <c r="M93" i="47"/>
  <c r="M94" i="47" s="1"/>
  <c r="L89" i="47"/>
  <c r="L90" i="47" s="1"/>
  <c r="M89" i="47"/>
  <c r="M90" i="47" s="1"/>
  <c r="K89" i="47"/>
  <c r="K75" i="47"/>
  <c r="K76" i="47" s="1"/>
  <c r="L75" i="47"/>
  <c r="L76" i="47" s="1"/>
  <c r="M75" i="47"/>
  <c r="M76" i="47" s="1"/>
  <c r="J75" i="47"/>
  <c r="J76" i="47" s="1"/>
  <c r="M71" i="47" l="1"/>
  <c r="M72" i="47" s="1"/>
  <c r="L71" i="47"/>
  <c r="L66" i="47"/>
  <c r="M66" i="47"/>
  <c r="K66" i="47"/>
  <c r="L64" i="47"/>
  <c r="M64" i="47"/>
  <c r="K64" i="47"/>
  <c r="L58" i="47"/>
  <c r="M57" i="47"/>
  <c r="M58" i="47" s="1"/>
  <c r="K57" i="47"/>
  <c r="K58" i="47" s="1"/>
  <c r="K38" i="47"/>
  <c r="J38" i="47"/>
  <c r="K36" i="47"/>
  <c r="L36" i="47"/>
  <c r="M36" i="47"/>
  <c r="J36" i="47"/>
  <c r="K29" i="47"/>
  <c r="L29" i="47"/>
  <c r="M29" i="47"/>
  <c r="J29" i="47"/>
  <c r="J17" i="47"/>
  <c r="K17" i="47"/>
  <c r="L17" i="47"/>
  <c r="J21" i="47"/>
  <c r="K21" i="47"/>
  <c r="L21" i="47"/>
  <c r="M21" i="47"/>
  <c r="J20" i="47"/>
  <c r="K20" i="47"/>
  <c r="L20" i="47"/>
  <c r="M20" i="47"/>
  <c r="J19" i="47"/>
  <c r="K19" i="47"/>
  <c r="L19" i="47"/>
  <c r="J18" i="47"/>
  <c r="K18" i="47"/>
  <c r="L18" i="47"/>
  <c r="M18" i="47"/>
  <c r="M17" i="47"/>
  <c r="L109" i="47"/>
  <c r="M109" i="47"/>
  <c r="M110" i="47" s="1"/>
  <c r="K109" i="47"/>
  <c r="L104" i="47"/>
  <c r="M104" i="47"/>
  <c r="M105" i="47" s="1"/>
  <c r="M53" i="47"/>
  <c r="J31" i="46"/>
  <c r="J176" i="45"/>
  <c r="M15" i="45"/>
  <c r="K119" i="47" l="1"/>
  <c r="Z16" i="60"/>
  <c r="AD16" i="60" s="1"/>
  <c r="D56" i="60"/>
  <c r="X16" i="60"/>
  <c r="X38" i="60" s="1"/>
  <c r="X40" i="60" s="1"/>
  <c r="M116" i="47"/>
  <c r="C56" i="60"/>
  <c r="W16" i="60"/>
  <c r="W38" i="60" s="1"/>
  <c r="W40" i="60" s="1"/>
  <c r="B56" i="60"/>
  <c r="V16" i="60"/>
  <c r="J177" i="45"/>
  <c r="AB16" i="60"/>
  <c r="AB38" i="60" s="1"/>
  <c r="M119" i="47"/>
  <c r="M34" i="34" s="1"/>
  <c r="AA16" i="60"/>
  <c r="L119" i="47"/>
  <c r="O16" i="60"/>
  <c r="L117" i="47"/>
  <c r="P16" i="60"/>
  <c r="M117" i="47"/>
  <c r="K117" i="47"/>
  <c r="N16" i="60"/>
  <c r="L177" i="45"/>
  <c r="K177" i="45"/>
  <c r="M177" i="45"/>
  <c r="M54" i="47"/>
  <c r="D16" i="60"/>
  <c r="J23" i="47"/>
  <c r="L23" i="47"/>
  <c r="K23" i="47"/>
  <c r="M23" i="47"/>
  <c r="D18" i="60" l="1"/>
  <c r="AY16" i="60"/>
  <c r="M106" i="54"/>
  <c r="L106" i="54"/>
  <c r="K106" i="54"/>
  <c r="J106" i="54"/>
  <c r="H106" i="54"/>
  <c r="G106" i="54"/>
  <c r="E106" i="54"/>
  <c r="J132" i="56"/>
  <c r="J199" i="56" s="1"/>
  <c r="I86" i="48"/>
  <c r="I84" i="48"/>
  <c r="I82" i="48"/>
  <c r="I80" i="48"/>
  <c r="I73" i="48"/>
  <c r="I60" i="48"/>
  <c r="I57" i="48"/>
  <c r="I55" i="48"/>
  <c r="I47" i="48"/>
  <c r="I44" i="48"/>
  <c r="I42" i="48"/>
  <c r="I40" i="48"/>
  <c r="I38" i="48"/>
  <c r="I35" i="48"/>
  <c r="I31" i="48"/>
  <c r="I30" i="48"/>
  <c r="I28" i="48"/>
  <c r="I22" i="48"/>
  <c r="I18" i="48"/>
  <c r="I19" i="48"/>
  <c r="J21" i="48"/>
  <c r="J79" i="48"/>
  <c r="F30" i="48"/>
  <c r="F106" i="54" l="1"/>
  <c r="M36" i="48"/>
  <c r="L79" i="48" l="1"/>
  <c r="M79" i="48"/>
  <c r="K79" i="48"/>
  <c r="K20" i="48"/>
  <c r="L20" i="48"/>
  <c r="M20" i="48"/>
  <c r="H24" i="48"/>
  <c r="N19" i="60" l="1"/>
  <c r="K33" i="34"/>
  <c r="P31" i="34" s="1"/>
  <c r="P19" i="60"/>
  <c r="O19" i="60"/>
  <c r="AW19" i="60"/>
  <c r="D19" i="60"/>
  <c r="C19" i="60"/>
  <c r="I21" i="48"/>
  <c r="I23" i="48"/>
  <c r="M24" i="48"/>
  <c r="L24" i="48"/>
  <c r="K24" i="48"/>
  <c r="I24" i="48" s="1"/>
  <c r="AY19" i="60" l="1"/>
  <c r="D21" i="60"/>
  <c r="AX19" i="60"/>
  <c r="C21" i="60"/>
  <c r="I191" i="56"/>
  <c r="I49" i="48" l="1"/>
  <c r="M77" i="48"/>
  <c r="M85" i="48" s="1"/>
  <c r="M98" i="48" s="1"/>
  <c r="L77" i="48"/>
  <c r="L85" i="48" s="1"/>
  <c r="L98" i="48" s="1"/>
  <c r="L188" i="56"/>
  <c r="M188" i="56"/>
  <c r="K188" i="56"/>
  <c r="K180" i="56"/>
  <c r="L180" i="56"/>
  <c r="M180" i="56"/>
  <c r="BA19" i="60" l="1"/>
  <c r="L18" i="34"/>
  <c r="BB19" i="60"/>
  <c r="M18" i="34"/>
  <c r="B7" i="60"/>
  <c r="K199" i="56"/>
  <c r="C7" i="60"/>
  <c r="C9" i="60" s="1"/>
  <c r="L199" i="56"/>
  <c r="L198" i="56" s="1"/>
  <c r="L208" i="56" s="1"/>
  <c r="D7" i="60"/>
  <c r="D9" i="60" s="1"/>
  <c r="M199" i="56"/>
  <c r="M198" i="56" s="1"/>
  <c r="M87" i="48"/>
  <c r="K77" i="48"/>
  <c r="K85" i="48" s="1"/>
  <c r="J20" i="48"/>
  <c r="L26" i="46"/>
  <c r="L71" i="46" s="1"/>
  <c r="M26" i="46"/>
  <c r="M71" i="46" s="1"/>
  <c r="M70" i="46" s="1"/>
  <c r="J26" i="46"/>
  <c r="AZ19" i="60" l="1"/>
  <c r="K98" i="48"/>
  <c r="L226" i="56"/>
  <c r="L228" i="56" s="1"/>
  <c r="K198" i="56"/>
  <c r="K208" i="56" s="1"/>
  <c r="K226" i="56" s="1"/>
  <c r="K228" i="56" s="1"/>
  <c r="K230" i="56" s="1"/>
  <c r="AX7" i="60"/>
  <c r="L70" i="46"/>
  <c r="L79" i="46" s="1"/>
  <c r="L87" i="46" s="1"/>
  <c r="AY7" i="60"/>
  <c r="J224" i="56"/>
  <c r="D13" i="60"/>
  <c r="AY13" i="60" s="1"/>
  <c r="C13" i="60"/>
  <c r="AX13" i="60" s="1"/>
  <c r="AW7" i="60"/>
  <c r="B9" i="60"/>
  <c r="L87" i="48"/>
  <c r="K58" i="48"/>
  <c r="L58" i="48"/>
  <c r="M58" i="48"/>
  <c r="J123" i="47"/>
  <c r="M123" i="47"/>
  <c r="J122" i="47"/>
  <c r="K122" i="47"/>
  <c r="L122" i="47"/>
  <c r="J120" i="47"/>
  <c r="M120" i="47"/>
  <c r="M115" i="47" s="1"/>
  <c r="M124" i="47" s="1"/>
  <c r="J119" i="47"/>
  <c r="J117" i="47"/>
  <c r="K172" i="56"/>
  <c r="L172" i="56"/>
  <c r="M172" i="56"/>
  <c r="H172" i="56"/>
  <c r="M17" i="34" l="1"/>
  <c r="M135" i="47"/>
  <c r="BA13" i="60"/>
  <c r="M79" i="46"/>
  <c r="M87" i="46" s="1"/>
  <c r="L16" i="34"/>
  <c r="C15" i="60"/>
  <c r="D15" i="60"/>
  <c r="BB16" i="60"/>
  <c r="I37" i="56"/>
  <c r="M16" i="34" l="1"/>
  <c r="I53" i="56"/>
  <c r="I209" i="56"/>
  <c r="I207" i="56"/>
  <c r="I205" i="56"/>
  <c r="I20" i="56"/>
  <c r="I32" i="56"/>
  <c r="I34" i="56"/>
  <c r="I41" i="56"/>
  <c r="I42" i="56"/>
  <c r="I43" i="56"/>
  <c r="I44" i="56"/>
  <c r="I45" i="56"/>
  <c r="I46" i="56"/>
  <c r="I48" i="56"/>
  <c r="I49" i="56"/>
  <c r="I51" i="56"/>
  <c r="I55" i="56"/>
  <c r="I57" i="56"/>
  <c r="I59" i="56"/>
  <c r="I62" i="56"/>
  <c r="I65" i="56"/>
  <c r="I67" i="56"/>
  <c r="I68" i="56"/>
  <c r="I70" i="56"/>
  <c r="I72" i="56"/>
  <c r="I74" i="56"/>
  <c r="I77" i="56"/>
  <c r="I80" i="56"/>
  <c r="I82" i="56"/>
  <c r="I83" i="56"/>
  <c r="I87" i="56"/>
  <c r="I89" i="56"/>
  <c r="I113" i="56"/>
  <c r="I115" i="56"/>
  <c r="I118" i="56"/>
  <c r="I120" i="56"/>
  <c r="I123" i="56"/>
  <c r="I126" i="56"/>
  <c r="I129" i="56"/>
  <c r="I133" i="56"/>
  <c r="I134" i="56"/>
  <c r="I148" i="56"/>
  <c r="I166" i="56"/>
  <c r="I168" i="56"/>
  <c r="I169" i="56"/>
  <c r="I170" i="56"/>
  <c r="I171" i="56"/>
  <c r="I174" i="56"/>
  <c r="I175" i="56"/>
  <c r="I176" i="56"/>
  <c r="I178" i="56"/>
  <c r="I190" i="56"/>
  <c r="I192" i="56"/>
  <c r="I195" i="56"/>
  <c r="J127" i="56"/>
  <c r="K127" i="56"/>
  <c r="L127" i="56"/>
  <c r="M127" i="56"/>
  <c r="J135" i="56"/>
  <c r="K135" i="56"/>
  <c r="L135" i="56"/>
  <c r="M135" i="56"/>
  <c r="J152" i="56"/>
  <c r="J177" i="56"/>
  <c r="J173" i="56" s="1"/>
  <c r="K177" i="56"/>
  <c r="K173" i="56" s="1"/>
  <c r="L177" i="56"/>
  <c r="M177" i="56"/>
  <c r="J181" i="56"/>
  <c r="K181" i="56"/>
  <c r="L181" i="56"/>
  <c r="M181" i="56"/>
  <c r="J189" i="56"/>
  <c r="K189" i="56"/>
  <c r="L189" i="56"/>
  <c r="M189" i="56"/>
  <c r="J194" i="56"/>
  <c r="K194" i="56"/>
  <c r="L194" i="56"/>
  <c r="M194" i="56"/>
  <c r="J196" i="56"/>
  <c r="K196" i="56"/>
  <c r="L196" i="56"/>
  <c r="M196" i="56"/>
  <c r="J119" i="56"/>
  <c r="K119" i="56"/>
  <c r="L119" i="56"/>
  <c r="M119" i="56"/>
  <c r="J116" i="56"/>
  <c r="K116" i="56"/>
  <c r="L116" i="56"/>
  <c r="M116" i="56"/>
  <c r="J114" i="56"/>
  <c r="K114" i="56"/>
  <c r="L114" i="56"/>
  <c r="M114" i="56"/>
  <c r="K98" i="56"/>
  <c r="L98" i="56"/>
  <c r="M98" i="56"/>
  <c r="J98" i="56"/>
  <c r="H98" i="56"/>
  <c r="J91" i="56"/>
  <c r="K91" i="56"/>
  <c r="L91" i="56"/>
  <c r="M91" i="56"/>
  <c r="J88" i="56"/>
  <c r="K88" i="56"/>
  <c r="L88" i="56"/>
  <c r="M88" i="56"/>
  <c r="J86" i="56"/>
  <c r="K86" i="56"/>
  <c r="L86" i="56"/>
  <c r="M86" i="56"/>
  <c r="J84" i="56"/>
  <c r="K84" i="56"/>
  <c r="L84" i="56"/>
  <c r="M84" i="56"/>
  <c r="L81" i="56"/>
  <c r="J81" i="56"/>
  <c r="K81" i="56"/>
  <c r="M81" i="56"/>
  <c r="J79" i="56"/>
  <c r="K79" i="56"/>
  <c r="L79" i="56"/>
  <c r="M79" i="56"/>
  <c r="J76" i="56"/>
  <c r="K76" i="56"/>
  <c r="L76" i="56"/>
  <c r="M76" i="56"/>
  <c r="J73" i="56"/>
  <c r="K73" i="56"/>
  <c r="L73" i="56"/>
  <c r="M73" i="56"/>
  <c r="J71" i="56"/>
  <c r="K71" i="56"/>
  <c r="L71" i="56"/>
  <c r="M71" i="56"/>
  <c r="L69" i="56"/>
  <c r="K69" i="56"/>
  <c r="J69" i="56"/>
  <c r="M69" i="56"/>
  <c r="J66" i="56"/>
  <c r="K66" i="56"/>
  <c r="L66" i="56"/>
  <c r="M66" i="56"/>
  <c r="J64" i="56"/>
  <c r="K64" i="56"/>
  <c r="L64" i="56"/>
  <c r="M64" i="56"/>
  <c r="J61" i="56"/>
  <c r="K61" i="56"/>
  <c r="L61" i="56"/>
  <c r="M61" i="56"/>
  <c r="J58" i="56"/>
  <c r="K58" i="56"/>
  <c r="L58" i="56"/>
  <c r="M58" i="56"/>
  <c r="J56" i="56"/>
  <c r="K56" i="56"/>
  <c r="L56" i="56"/>
  <c r="M56" i="56"/>
  <c r="J54" i="56"/>
  <c r="K54" i="56"/>
  <c r="L54" i="56"/>
  <c r="M54" i="56"/>
  <c r="J52" i="56"/>
  <c r="K52" i="56"/>
  <c r="L52" i="56"/>
  <c r="M52" i="56"/>
  <c r="J50" i="56"/>
  <c r="K50" i="56"/>
  <c r="L50" i="56"/>
  <c r="M50" i="56"/>
  <c r="J47" i="56"/>
  <c r="K47" i="56"/>
  <c r="L47" i="56"/>
  <c r="M47" i="56"/>
  <c r="J40" i="56"/>
  <c r="K40" i="56"/>
  <c r="L40" i="56"/>
  <c r="M40" i="56"/>
  <c r="K33" i="56"/>
  <c r="L33" i="56"/>
  <c r="M33" i="56"/>
  <c r="L31" i="56"/>
  <c r="M31" i="56"/>
  <c r="K31" i="56"/>
  <c r="J31" i="56"/>
  <c r="H206" i="56"/>
  <c r="I204" i="56"/>
  <c r="I19" i="51"/>
  <c r="H162" i="50"/>
  <c r="M179" i="56" l="1"/>
  <c r="K179" i="56"/>
  <c r="J179" i="56"/>
  <c r="L179" i="56"/>
  <c r="I206" i="56"/>
  <c r="I98" i="56"/>
  <c r="I96" i="56"/>
  <c r="I172" i="56"/>
  <c r="J95" i="56"/>
  <c r="J36" i="56"/>
  <c r="V15" i="34" l="1"/>
  <c r="J23" i="56"/>
  <c r="G71" i="48" l="1"/>
  <c r="E71" i="48"/>
  <c r="F71" i="48" s="1"/>
  <c r="F70" i="48"/>
  <c r="G68" i="46"/>
  <c r="G66" i="46" s="1"/>
  <c r="E68" i="46"/>
  <c r="E66" i="46" s="1"/>
  <c r="F67" i="46"/>
  <c r="F68" i="46" l="1"/>
  <c r="K251" i="54"/>
  <c r="L251" i="54"/>
  <c r="M251" i="54"/>
  <c r="J251" i="54"/>
  <c r="K255" i="54"/>
  <c r="L255" i="54"/>
  <c r="M255" i="54"/>
  <c r="J255" i="54"/>
  <c r="J25" i="54" l="1"/>
  <c r="J150" i="50" l="1"/>
  <c r="L146" i="50"/>
  <c r="J146" i="50"/>
  <c r="M107" i="50"/>
  <c r="L107" i="50"/>
  <c r="J107" i="50"/>
  <c r="M105" i="50"/>
  <c r="L105" i="50"/>
  <c r="J105" i="50"/>
  <c r="M103" i="50"/>
  <c r="L103" i="50"/>
  <c r="J103" i="50"/>
  <c r="M101" i="50"/>
  <c r="L101" i="50"/>
  <c r="J101" i="50"/>
  <c r="M99" i="50"/>
  <c r="L99" i="50"/>
  <c r="J99" i="50"/>
  <c r="M97" i="50"/>
  <c r="L97" i="50"/>
  <c r="J97" i="50"/>
  <c r="G103" i="50"/>
  <c r="F103" i="50"/>
  <c r="E103" i="50"/>
  <c r="K95" i="50"/>
  <c r="G111" i="50"/>
  <c r="F111" i="50"/>
  <c r="E111" i="50"/>
  <c r="G107" i="50"/>
  <c r="F107" i="50"/>
  <c r="E107" i="50"/>
  <c r="G99" i="50"/>
  <c r="F99" i="50"/>
  <c r="E99" i="50"/>
  <c r="G154" i="50"/>
  <c r="F154" i="50"/>
  <c r="E154" i="50"/>
  <c r="G146" i="50"/>
  <c r="F146" i="50"/>
  <c r="E146" i="50"/>
  <c r="K129" i="50"/>
  <c r="I129" i="50" s="1"/>
  <c r="J129" i="50"/>
  <c r="J130" i="50" s="1"/>
  <c r="M134" i="50"/>
  <c r="L134" i="50"/>
  <c r="J134" i="50"/>
  <c r="J138" i="50"/>
  <c r="G138" i="50"/>
  <c r="F138" i="50"/>
  <c r="E138" i="50"/>
  <c r="G134" i="50"/>
  <c r="F134" i="50"/>
  <c r="E134" i="50"/>
  <c r="K76" i="50"/>
  <c r="L76" i="50"/>
  <c r="M76" i="50"/>
  <c r="J76" i="50"/>
  <c r="J79" i="50" s="1"/>
  <c r="M87" i="50"/>
  <c r="L87" i="50"/>
  <c r="J87" i="50"/>
  <c r="L83" i="50"/>
  <c r="M83" i="50"/>
  <c r="J83" i="50"/>
  <c r="I79" i="50"/>
  <c r="G87" i="50"/>
  <c r="F87" i="50"/>
  <c r="E87" i="50"/>
  <c r="G83" i="50"/>
  <c r="F83" i="50"/>
  <c r="E83" i="50"/>
  <c r="M73" i="50"/>
  <c r="L73" i="50"/>
  <c r="J73" i="50"/>
  <c r="M69" i="50"/>
  <c r="L69" i="50"/>
  <c r="J69" i="50"/>
  <c r="L65" i="50"/>
  <c r="M65" i="50"/>
  <c r="J65" i="50"/>
  <c r="K60" i="50"/>
  <c r="L58" i="50"/>
  <c r="G25" i="60" s="1"/>
  <c r="J60" i="50"/>
  <c r="J58" i="50"/>
  <c r="G73" i="50"/>
  <c r="F73" i="50"/>
  <c r="E73" i="50"/>
  <c r="G69" i="50"/>
  <c r="F69" i="50"/>
  <c r="E69" i="50"/>
  <c r="G65" i="50"/>
  <c r="F65" i="50"/>
  <c r="E65" i="50"/>
  <c r="J44" i="50"/>
  <c r="J41" i="50"/>
  <c r="I57" i="50"/>
  <c r="J57" i="50"/>
  <c r="L57" i="50"/>
  <c r="M57" i="50"/>
  <c r="I53" i="50"/>
  <c r="J53" i="50"/>
  <c r="L53" i="50"/>
  <c r="M53" i="50"/>
  <c r="I49" i="50"/>
  <c r="J49" i="50"/>
  <c r="L49" i="50"/>
  <c r="M49" i="50"/>
  <c r="H57" i="50"/>
  <c r="G57" i="50"/>
  <c r="F57" i="50"/>
  <c r="E57" i="50"/>
  <c r="H53" i="50"/>
  <c r="G53" i="50"/>
  <c r="F53" i="50"/>
  <c r="E53" i="50"/>
  <c r="H49" i="50"/>
  <c r="G49" i="50"/>
  <c r="F49" i="50"/>
  <c r="E49" i="50"/>
  <c r="J91" i="50"/>
  <c r="K91" i="50"/>
  <c r="L91" i="50"/>
  <c r="M91" i="50"/>
  <c r="J40" i="50"/>
  <c r="K40" i="50"/>
  <c r="L40" i="50"/>
  <c r="M40" i="50"/>
  <c r="J38" i="50"/>
  <c r="K38" i="50"/>
  <c r="L38" i="50"/>
  <c r="M38" i="50"/>
  <c r="J21" i="50"/>
  <c r="J15" i="50"/>
  <c r="K15" i="50"/>
  <c r="L15" i="50"/>
  <c r="M15" i="50"/>
  <c r="L79" i="50" l="1"/>
  <c r="G27" i="60"/>
  <c r="G38" i="60"/>
  <c r="G40" i="60" s="1"/>
  <c r="J94" i="50"/>
  <c r="L94" i="50"/>
  <c r="AG25" i="60" s="1"/>
  <c r="AF25" i="60"/>
  <c r="K162" i="50"/>
  <c r="I162" i="50" s="1"/>
  <c r="M94" i="50"/>
  <c r="M162" i="50" s="1"/>
  <c r="M79" i="50"/>
  <c r="J162" i="50"/>
  <c r="J95" i="50"/>
  <c r="M130" i="50"/>
  <c r="L130" i="50"/>
  <c r="K130" i="50"/>
  <c r="L95" i="50"/>
  <c r="M95" i="50"/>
  <c r="M61" i="50"/>
  <c r="M167" i="50" s="1"/>
  <c r="J61" i="50"/>
  <c r="J167" i="50" s="1"/>
  <c r="J45" i="50"/>
  <c r="L61" i="50"/>
  <c r="L167" i="50" s="1"/>
  <c r="K61" i="50"/>
  <c r="J74" i="48"/>
  <c r="K74" i="48"/>
  <c r="L74" i="48"/>
  <c r="M74" i="48"/>
  <c r="J88" i="47"/>
  <c r="M88" i="47"/>
  <c r="K84" i="47"/>
  <c r="L84" i="47"/>
  <c r="M84" i="47"/>
  <c r="J82" i="47"/>
  <c r="J84" i="47" s="1"/>
  <c r="AH25" i="60" l="1"/>
  <c r="AY25" i="60" s="1"/>
  <c r="L162" i="50"/>
  <c r="I237" i="54"/>
  <c r="I40" i="54"/>
  <c r="I42" i="54"/>
  <c r="I43" i="54"/>
  <c r="I64" i="54"/>
  <c r="I65" i="54"/>
  <c r="I66" i="54"/>
  <c r="I69" i="54"/>
  <c r="I71" i="54"/>
  <c r="I77" i="54"/>
  <c r="I79" i="54"/>
  <c r="I87" i="54"/>
  <c r="I107" i="54"/>
  <c r="I126" i="54"/>
  <c r="I128" i="54"/>
  <c r="I161" i="54"/>
  <c r="I162" i="54"/>
  <c r="I163" i="54"/>
  <c r="I164" i="54"/>
  <c r="I169" i="54"/>
  <c r="I171" i="54"/>
  <c r="I175" i="54"/>
  <c r="I176" i="54"/>
  <c r="I177" i="54"/>
  <c r="I178" i="54"/>
  <c r="I179" i="54"/>
  <c r="I180" i="54"/>
  <c r="I181" i="54"/>
  <c r="I182" i="54"/>
  <c r="I183" i="54"/>
  <c r="I184" i="54"/>
  <c r="I185" i="54"/>
  <c r="I187" i="54"/>
  <c r="I188" i="54"/>
  <c r="I189" i="54"/>
  <c r="I190" i="54"/>
  <c r="I197" i="54"/>
  <c r="I199" i="54"/>
  <c r="I200" i="54"/>
  <c r="I201" i="54"/>
  <c r="I207" i="54"/>
  <c r="I209" i="54"/>
  <c r="I215" i="54"/>
  <c r="I224" i="54"/>
  <c r="I226" i="54"/>
  <c r="I242" i="54"/>
  <c r="I245" i="54"/>
  <c r="I248" i="54"/>
  <c r="I264" i="54"/>
  <c r="I147" i="54"/>
  <c r="J250" i="54"/>
  <c r="J247" i="54" s="1"/>
  <c r="K247" i="54"/>
  <c r="L247" i="54"/>
  <c r="M247" i="54"/>
  <c r="J246" i="54"/>
  <c r="J244" i="54" s="1"/>
  <c r="K246" i="54"/>
  <c r="K244" i="54" s="1"/>
  <c r="L246" i="54"/>
  <c r="L244" i="54" s="1"/>
  <c r="M246" i="54"/>
  <c r="M244" i="54" s="1"/>
  <c r="J243" i="54"/>
  <c r="J241" i="54" s="1"/>
  <c r="K243" i="54"/>
  <c r="K241" i="54" s="1"/>
  <c r="L243" i="54"/>
  <c r="L241" i="54" s="1"/>
  <c r="M243" i="54"/>
  <c r="M241" i="54" s="1"/>
  <c r="J240" i="54"/>
  <c r="K233" i="54"/>
  <c r="L233" i="54"/>
  <c r="L234" i="54" s="1"/>
  <c r="M233" i="54"/>
  <c r="M234" i="54" s="1"/>
  <c r="J233" i="54"/>
  <c r="J234" i="54" s="1"/>
  <c r="K229" i="54"/>
  <c r="L229" i="54"/>
  <c r="M229" i="54"/>
  <c r="J229" i="54"/>
  <c r="M217" i="54"/>
  <c r="J217" i="54"/>
  <c r="J219" i="54" s="1"/>
  <c r="J216" i="54"/>
  <c r="K216" i="54"/>
  <c r="L216" i="54"/>
  <c r="M216" i="54"/>
  <c r="J208" i="54"/>
  <c r="K208" i="54"/>
  <c r="L208" i="54"/>
  <c r="M208" i="54"/>
  <c r="K192" i="54"/>
  <c r="L191" i="54"/>
  <c r="M191" i="54"/>
  <c r="J191" i="54"/>
  <c r="J192" i="54" s="1"/>
  <c r="L258" i="54" l="1"/>
  <c r="C34" i="60"/>
  <c r="K234" i="54"/>
  <c r="B34" i="60"/>
  <c r="M219" i="54"/>
  <c r="D34" i="60"/>
  <c r="M192" i="54"/>
  <c r="M258" i="54"/>
  <c r="L192" i="54"/>
  <c r="I191" i="54"/>
  <c r="I217" i="54"/>
  <c r="I233" i="54"/>
  <c r="M232" i="54"/>
  <c r="J232" i="54"/>
  <c r="J206" i="54"/>
  <c r="M206" i="54"/>
  <c r="AX34" i="60" l="1"/>
  <c r="C36" i="60"/>
  <c r="AY34" i="60"/>
  <c r="D36" i="60"/>
  <c r="J198" i="54"/>
  <c r="L198" i="54"/>
  <c r="L196" i="54" s="1"/>
  <c r="M198" i="54"/>
  <c r="M196" i="54" s="1"/>
  <c r="J166" i="54"/>
  <c r="M166" i="54"/>
  <c r="J149" i="54"/>
  <c r="K149" i="54"/>
  <c r="L149" i="54"/>
  <c r="M149" i="54"/>
  <c r="J47" i="46"/>
  <c r="J52" i="46" s="1"/>
  <c r="H60" i="46"/>
  <c r="G60" i="46"/>
  <c r="E60" i="46"/>
  <c r="F56" i="46"/>
  <c r="J130" i="54"/>
  <c r="K96" i="54"/>
  <c r="K261" i="54" s="1"/>
  <c r="L96" i="54"/>
  <c r="L261" i="54" s="1"/>
  <c r="M96" i="54"/>
  <c r="M261" i="54" s="1"/>
  <c r="K97" i="54"/>
  <c r="L97" i="54"/>
  <c r="M97" i="54"/>
  <c r="J96" i="54"/>
  <c r="J261" i="54" s="1"/>
  <c r="J103" i="54"/>
  <c r="K103" i="54"/>
  <c r="L103" i="54"/>
  <c r="M103" i="54"/>
  <c r="J100" i="54"/>
  <c r="K100" i="54"/>
  <c r="L100" i="54"/>
  <c r="M100" i="54"/>
  <c r="H103" i="54"/>
  <c r="G103" i="54"/>
  <c r="E103" i="54"/>
  <c r="H100" i="54"/>
  <c r="G100" i="54"/>
  <c r="E100" i="54"/>
  <c r="K88" i="54"/>
  <c r="L88" i="54"/>
  <c r="M88" i="54"/>
  <c r="J88" i="54"/>
  <c r="J78" i="54"/>
  <c r="K78" i="54"/>
  <c r="L78" i="54"/>
  <c r="M78" i="54"/>
  <c r="J63" i="54"/>
  <c r="K63" i="54"/>
  <c r="L63" i="54"/>
  <c r="J57" i="54"/>
  <c r="K57" i="54"/>
  <c r="J51" i="54"/>
  <c r="K51" i="54"/>
  <c r="H63" i="54"/>
  <c r="G63" i="54"/>
  <c r="E63" i="54"/>
  <c r="F58" i="54"/>
  <c r="H57" i="54"/>
  <c r="G57" i="54"/>
  <c r="E57" i="54"/>
  <c r="F52" i="54"/>
  <c r="J44" i="54"/>
  <c r="K44" i="54"/>
  <c r="L44" i="54"/>
  <c r="M44" i="54"/>
  <c r="K37" i="54"/>
  <c r="K39" i="54" s="1"/>
  <c r="J37" i="54"/>
  <c r="K34" i="54"/>
  <c r="J34" i="54"/>
  <c r="M26" i="54"/>
  <c r="I25" i="54"/>
  <c r="K266" i="54" l="1"/>
  <c r="B36" i="60"/>
  <c r="K258" i="54"/>
  <c r="V34" i="60"/>
  <c r="V38" i="60" s="1"/>
  <c r="V40" i="60" s="1"/>
  <c r="K131" i="54"/>
  <c r="L131" i="54"/>
  <c r="M131" i="54"/>
  <c r="M125" i="54" s="1"/>
  <c r="I68" i="54"/>
  <c r="J72" i="54"/>
  <c r="J45" i="54" s="1"/>
  <c r="M266" i="54"/>
  <c r="L266" i="54"/>
  <c r="L267" i="54" s="1"/>
  <c r="J266" i="54"/>
  <c r="J258" i="54"/>
  <c r="M257" i="54"/>
  <c r="L35" i="54"/>
  <c r="K35" i="54"/>
  <c r="F60" i="46"/>
  <c r="M113" i="54"/>
  <c r="M91" i="54" s="1"/>
  <c r="M35" i="54"/>
  <c r="M24" i="54" s="1"/>
  <c r="J131" i="54"/>
  <c r="J125" i="54" s="1"/>
  <c r="I130" i="54"/>
  <c r="J196" i="54"/>
  <c r="J39" i="54"/>
  <c r="J97" i="54"/>
  <c r="I95" i="54"/>
  <c r="J35" i="54"/>
  <c r="I34" i="54"/>
  <c r="K26" i="54"/>
  <c r="K113" i="54"/>
  <c r="J113" i="54"/>
  <c r="L26" i="54"/>
  <c r="J26" i="54"/>
  <c r="L113" i="54"/>
  <c r="F103" i="54"/>
  <c r="F100" i="54"/>
  <c r="M45" i="54"/>
  <c r="F63" i="54"/>
  <c r="F57" i="54"/>
  <c r="M267" i="54" l="1"/>
  <c r="AW34" i="60"/>
  <c r="M265" i="54"/>
  <c r="J24" i="54"/>
  <c r="J257" i="54"/>
  <c r="M23" i="34" l="1"/>
  <c r="M274" i="54"/>
  <c r="AA15" i="34"/>
  <c r="BB34" i="60"/>
  <c r="J265" i="54"/>
  <c r="J23" i="34" s="1"/>
  <c r="J282" i="49"/>
  <c r="J36" i="34" s="1"/>
  <c r="J190" i="49"/>
  <c r="J189" i="49"/>
  <c r="C22" i="60"/>
  <c r="C24" i="60" s="1"/>
  <c r="M189" i="49"/>
  <c r="M192" i="49" s="1"/>
  <c r="F100" i="49"/>
  <c r="F101" i="49" s="1"/>
  <c r="E101" i="49"/>
  <c r="G101" i="49"/>
  <c r="H101" i="49"/>
  <c r="K101" i="49"/>
  <c r="L101" i="49"/>
  <c r="J15" i="49"/>
  <c r="M15" i="49"/>
  <c r="K252" i="49"/>
  <c r="L251" i="49"/>
  <c r="M251" i="49"/>
  <c r="K250" i="49"/>
  <c r="J252" i="49"/>
  <c r="J251" i="49"/>
  <c r="J250" i="49"/>
  <c r="K262" i="49"/>
  <c r="L262" i="49"/>
  <c r="M262" i="49"/>
  <c r="J262" i="49"/>
  <c r="K258" i="49"/>
  <c r="L258" i="49"/>
  <c r="M258" i="49"/>
  <c r="J258" i="49"/>
  <c r="K235" i="49"/>
  <c r="I235" i="49" s="1"/>
  <c r="L235" i="49"/>
  <c r="L237" i="49" s="1"/>
  <c r="M235" i="49"/>
  <c r="M237" i="49" s="1"/>
  <c r="J235" i="49"/>
  <c r="J233" i="49"/>
  <c r="L249" i="49"/>
  <c r="M249" i="49"/>
  <c r="J249" i="49"/>
  <c r="K245" i="49"/>
  <c r="L245" i="49"/>
  <c r="M245" i="49"/>
  <c r="J245" i="49"/>
  <c r="K241" i="49"/>
  <c r="L241" i="49"/>
  <c r="M241" i="49"/>
  <c r="J241" i="49"/>
  <c r="K209" i="49"/>
  <c r="L209" i="49"/>
  <c r="M209" i="49"/>
  <c r="M281" i="49" s="1"/>
  <c r="L207" i="49"/>
  <c r="BF12" i="60" s="1"/>
  <c r="M207" i="49"/>
  <c r="BG12" i="60" s="1"/>
  <c r="J209" i="49"/>
  <c r="J208" i="49"/>
  <c r="J207" i="49"/>
  <c r="J215" i="49"/>
  <c r="K215" i="49"/>
  <c r="L215" i="49"/>
  <c r="M215" i="49"/>
  <c r="K219" i="49"/>
  <c r="L219" i="49"/>
  <c r="M219" i="49"/>
  <c r="J219" i="49"/>
  <c r="K174" i="49"/>
  <c r="Z22" i="60" s="1"/>
  <c r="Z38" i="60" s="1"/>
  <c r="AD38" i="60" s="1"/>
  <c r="K162" i="49"/>
  <c r="L162" i="49"/>
  <c r="L281" i="49" s="1"/>
  <c r="K160" i="49"/>
  <c r="H164" i="49"/>
  <c r="J162" i="49"/>
  <c r="J161" i="49"/>
  <c r="J160" i="49"/>
  <c r="L172" i="49"/>
  <c r="M172" i="49"/>
  <c r="J172" i="49"/>
  <c r="L168" i="49"/>
  <c r="M168" i="49"/>
  <c r="J168" i="49"/>
  <c r="J159" i="49"/>
  <c r="K159" i="49"/>
  <c r="L159" i="49"/>
  <c r="M159" i="49"/>
  <c r="J155" i="49"/>
  <c r="K155" i="49"/>
  <c r="L155" i="49"/>
  <c r="M155" i="49"/>
  <c r="J151" i="49"/>
  <c r="K151" i="49"/>
  <c r="L151" i="49"/>
  <c r="M151" i="49"/>
  <c r="J147" i="49"/>
  <c r="K147" i="49"/>
  <c r="L147" i="49"/>
  <c r="M147" i="49"/>
  <c r="K143" i="49"/>
  <c r="J136" i="49"/>
  <c r="M136" i="49"/>
  <c r="J126" i="49"/>
  <c r="K126" i="49"/>
  <c r="L126" i="49"/>
  <c r="M126" i="49"/>
  <c r="J221" i="49"/>
  <c r="K221" i="49"/>
  <c r="L221" i="49"/>
  <c r="M221" i="49"/>
  <c r="J130" i="49"/>
  <c r="M130" i="49"/>
  <c r="K120" i="49"/>
  <c r="L120" i="49"/>
  <c r="M120" i="49"/>
  <c r="J119" i="49"/>
  <c r="J116" i="49"/>
  <c r="K116" i="49"/>
  <c r="L116" i="49"/>
  <c r="J106" i="49"/>
  <c r="K106" i="49"/>
  <c r="L106" i="49"/>
  <c r="M106" i="49"/>
  <c r="J103" i="49"/>
  <c r="K103" i="49"/>
  <c r="L103" i="49"/>
  <c r="M103" i="49"/>
  <c r="J99" i="49"/>
  <c r="K99" i="49"/>
  <c r="L99" i="49"/>
  <c r="M99" i="49"/>
  <c r="J94" i="49"/>
  <c r="K94" i="49"/>
  <c r="L94" i="49"/>
  <c r="M94" i="49"/>
  <c r="J89" i="49"/>
  <c r="K89" i="49"/>
  <c r="L89" i="49"/>
  <c r="M89" i="49"/>
  <c r="J48" i="49"/>
  <c r="K48" i="49"/>
  <c r="L48" i="49"/>
  <c r="M48" i="49"/>
  <c r="J44" i="49"/>
  <c r="K44" i="49"/>
  <c r="L44" i="49"/>
  <c r="M44" i="49"/>
  <c r="J40" i="49"/>
  <c r="K40" i="49"/>
  <c r="L40" i="49"/>
  <c r="M40" i="49"/>
  <c r="J37" i="49"/>
  <c r="K37" i="49"/>
  <c r="L37" i="49"/>
  <c r="M37" i="49"/>
  <c r="K281" i="49" l="1"/>
  <c r="F22" i="60"/>
  <c r="F24" i="60" s="1"/>
  <c r="K276" i="49"/>
  <c r="I101" i="49"/>
  <c r="M211" i="49"/>
  <c r="BG18" i="60"/>
  <c r="BG37" i="60" s="1"/>
  <c r="BF18" i="60"/>
  <c r="BF37" i="60" s="1"/>
  <c r="AH22" i="60"/>
  <c r="AH38" i="60" s="1"/>
  <c r="L283" i="49"/>
  <c r="AD22" i="60"/>
  <c r="P22" i="60"/>
  <c r="P38" i="60" s="1"/>
  <c r="M33" i="34"/>
  <c r="R31" i="34" s="1"/>
  <c r="O22" i="60"/>
  <c r="O38" i="60" s="1"/>
  <c r="L33" i="34"/>
  <c r="Q31" i="34" s="1"/>
  <c r="N22" i="60"/>
  <c r="N38" i="60" s="1"/>
  <c r="S42" i="60" s="1"/>
  <c r="M283" i="49"/>
  <c r="M37" i="34" s="1"/>
  <c r="AG22" i="60"/>
  <c r="AG38" i="60" s="1"/>
  <c r="J279" i="49"/>
  <c r="J277" i="49" s="1"/>
  <c r="K177" i="49"/>
  <c r="AA22" i="60"/>
  <c r="AA38" i="60" s="1"/>
  <c r="L34" i="34"/>
  <c r="K280" i="49"/>
  <c r="K36" i="34"/>
  <c r="B22" i="60"/>
  <c r="B24" i="60" s="1"/>
  <c r="AF22" i="60"/>
  <c r="AF38" i="60" s="1"/>
  <c r="M276" i="49"/>
  <c r="J281" i="49"/>
  <c r="J120" i="49"/>
  <c r="J95" i="49" s="1"/>
  <c r="J276" i="49"/>
  <c r="D22" i="60"/>
  <c r="J283" i="49"/>
  <c r="J34" i="49"/>
  <c r="M34" i="49"/>
  <c r="J192" i="49"/>
  <c r="K192" i="49"/>
  <c r="L254" i="49"/>
  <c r="K254" i="49"/>
  <c r="J254" i="49"/>
  <c r="M254" i="49"/>
  <c r="J237" i="49"/>
  <c r="K211" i="49"/>
  <c r="L211" i="49"/>
  <c r="J211" i="49"/>
  <c r="K164" i="49"/>
  <c r="J164" i="49"/>
  <c r="L164" i="49"/>
  <c r="M164" i="49"/>
  <c r="M95" i="49"/>
  <c r="K294" i="49" l="1"/>
  <c r="N40" i="60"/>
  <c r="P45" i="60"/>
  <c r="M286" i="49"/>
  <c r="L286" i="49"/>
  <c r="AX22" i="60"/>
  <c r="D24" i="60"/>
  <c r="AY22" i="60"/>
  <c r="J286" i="49"/>
  <c r="M275" i="49"/>
  <c r="J275" i="49"/>
  <c r="J285" i="49" s="1"/>
  <c r="M156" i="49"/>
  <c r="M285" i="49" l="1"/>
  <c r="M297" i="49" s="1"/>
  <c r="M298" i="49" s="1"/>
  <c r="J19" i="34"/>
  <c r="J58" i="48"/>
  <c r="J72" i="48"/>
  <c r="K72" i="48"/>
  <c r="L72" i="48"/>
  <c r="M72" i="48"/>
  <c r="J61" i="48"/>
  <c r="K61" i="48"/>
  <c r="L61" i="48"/>
  <c r="M61" i="48"/>
  <c r="M59" i="48" s="1"/>
  <c r="K50" i="48"/>
  <c r="L50" i="48"/>
  <c r="M50" i="48"/>
  <c r="J49" i="48"/>
  <c r="J78" i="48" s="1"/>
  <c r="BB22" i="60" l="1"/>
  <c r="M19" i="34"/>
  <c r="W15" i="34" s="1"/>
  <c r="J50" i="48"/>
  <c r="J45" i="48"/>
  <c r="K45" i="48"/>
  <c r="L45" i="48"/>
  <c r="M45" i="48"/>
  <c r="J43" i="48"/>
  <c r="K43" i="48"/>
  <c r="L43" i="48"/>
  <c r="M43" i="48"/>
  <c r="J41" i="48"/>
  <c r="K41" i="48"/>
  <c r="L41" i="48"/>
  <c r="M41" i="48"/>
  <c r="J39" i="48"/>
  <c r="K39" i="48"/>
  <c r="L39" i="48"/>
  <c r="M39" i="48"/>
  <c r="K37" i="48" l="1"/>
  <c r="M37" i="48"/>
  <c r="L37" i="48"/>
  <c r="J37" i="48"/>
  <c r="J34" i="48"/>
  <c r="K34" i="48"/>
  <c r="L34" i="48"/>
  <c r="M34" i="48"/>
  <c r="J32" i="48"/>
  <c r="K32" i="48"/>
  <c r="L32" i="48"/>
  <c r="M32" i="48"/>
  <c r="J29" i="48"/>
  <c r="K29" i="48"/>
  <c r="L29" i="48"/>
  <c r="M29" i="48"/>
  <c r="M17" i="48" l="1"/>
  <c r="J77" i="48"/>
  <c r="J85" i="48" s="1"/>
  <c r="J24" i="48"/>
  <c r="J17" i="48" s="1"/>
  <c r="I99" i="47"/>
  <c r="I100" i="47" s="1"/>
  <c r="J99" i="47"/>
  <c r="J100" i="47" s="1"/>
  <c r="K100" i="47"/>
  <c r="L100" i="47"/>
  <c r="M100" i="47"/>
  <c r="K67" i="47"/>
  <c r="L67" i="47"/>
  <c r="M67" i="47"/>
  <c r="M61" i="47" s="1"/>
  <c r="J66" i="47"/>
  <c r="J67" i="47" s="1"/>
  <c r="I48" i="47"/>
  <c r="I49" i="47" s="1"/>
  <c r="J48" i="47"/>
  <c r="J49" i="47" l="1"/>
  <c r="J41" i="47" s="1"/>
  <c r="J116" i="47"/>
  <c r="J115" i="47" s="1"/>
  <c r="J124" i="47" s="1"/>
  <c r="J17" i="34" s="1"/>
  <c r="M49" i="47"/>
  <c r="M41" i="47" s="1"/>
  <c r="U15" i="34"/>
  <c r="L49" i="47"/>
  <c r="K49" i="47"/>
  <c r="J18" i="34" l="1"/>
  <c r="L173" i="56"/>
  <c r="M173" i="56"/>
  <c r="J165" i="56"/>
  <c r="K165" i="56"/>
  <c r="L165" i="56"/>
  <c r="M165" i="56"/>
  <c r="J162" i="56"/>
  <c r="J131" i="56" l="1"/>
  <c r="J130" i="56"/>
  <c r="J128" i="56" s="1"/>
  <c r="K130" i="56"/>
  <c r="L130" i="56"/>
  <c r="M130" i="56"/>
  <c r="J125" i="56" l="1"/>
  <c r="J122" i="56"/>
  <c r="J117" i="56" l="1"/>
  <c r="I95" i="52"/>
  <c r="I96" i="52"/>
  <c r="I87" i="52"/>
  <c r="I195" i="52" s="1"/>
  <c r="Y107" i="52"/>
  <c r="J87" i="52"/>
  <c r="E101" i="52"/>
  <c r="H101" i="52"/>
  <c r="I101" i="52"/>
  <c r="J56" i="52"/>
  <c r="G56" i="52"/>
  <c r="J92" i="52" l="1"/>
  <c r="J195" i="52"/>
  <c r="M35" i="34" s="1"/>
  <c r="AT31" i="60"/>
  <c r="AU31" i="60"/>
  <c r="M56" i="48"/>
  <c r="J56" i="48"/>
  <c r="M48" i="48"/>
  <c r="J48" i="48"/>
  <c r="K22" i="50"/>
  <c r="L22" i="50"/>
  <c r="J22" i="50"/>
  <c r="K157" i="50" l="1"/>
  <c r="K174" i="50" s="1"/>
  <c r="B25" i="60"/>
  <c r="L157" i="50"/>
  <c r="L156" i="50" s="1"/>
  <c r="C25" i="60"/>
  <c r="M156" i="50"/>
  <c r="M166" i="50" s="1"/>
  <c r="J157" i="50"/>
  <c r="J156" i="50" s="1"/>
  <c r="J166" i="50" s="1"/>
  <c r="J20" i="34" s="1"/>
  <c r="M23" i="50"/>
  <c r="M12" i="50" s="1"/>
  <c r="L23" i="50"/>
  <c r="J23" i="50"/>
  <c r="J12" i="50" s="1"/>
  <c r="K23" i="50"/>
  <c r="M46" i="48"/>
  <c r="J46" i="48"/>
  <c r="J30" i="51"/>
  <c r="M30" i="51"/>
  <c r="AX25" i="60" l="1"/>
  <c r="C27" i="60"/>
  <c r="AW25" i="60"/>
  <c r="B27" i="60"/>
  <c r="M177" i="50"/>
  <c r="M20" i="34"/>
  <c r="X15" i="34" s="1"/>
  <c r="BB25" i="60"/>
  <c r="I161" i="51"/>
  <c r="J163" i="51"/>
  <c r="K163" i="51"/>
  <c r="L163" i="51"/>
  <c r="M163" i="51"/>
  <c r="J160" i="51"/>
  <c r="J158" i="51"/>
  <c r="I142" i="51"/>
  <c r="J142" i="51"/>
  <c r="K142" i="51"/>
  <c r="L142" i="51"/>
  <c r="M142" i="51"/>
  <c r="M140" i="51" s="1"/>
  <c r="K111" i="51"/>
  <c r="L111" i="51"/>
  <c r="M111" i="51"/>
  <c r="J111" i="51"/>
  <c r="H111" i="51"/>
  <c r="L107" i="51"/>
  <c r="J107" i="51"/>
  <c r="K107" i="51"/>
  <c r="M107" i="51"/>
  <c r="L22" i="51" l="1"/>
  <c r="M22" i="51"/>
  <c r="J21" i="51"/>
  <c r="J22" i="51" s="1"/>
  <c r="K22" i="51" l="1"/>
  <c r="K144" i="51"/>
  <c r="L144" i="51"/>
  <c r="L145" i="51" s="1"/>
  <c r="M144" i="51"/>
  <c r="J144" i="51"/>
  <c r="L101" i="51"/>
  <c r="M101" i="51"/>
  <c r="J101" i="51"/>
  <c r="J60" i="51"/>
  <c r="M59" i="51"/>
  <c r="M165" i="51" s="1"/>
  <c r="J59" i="51"/>
  <c r="J165" i="51" s="1"/>
  <c r="H59" i="51"/>
  <c r="J35" i="51"/>
  <c r="J36" i="51"/>
  <c r="I34" i="51"/>
  <c r="D28" i="60" l="1"/>
  <c r="M155" i="51"/>
  <c r="M154" i="51" s="1"/>
  <c r="M80" i="51"/>
  <c r="AL28" i="60"/>
  <c r="AL38" i="60" s="1"/>
  <c r="L80" i="51"/>
  <c r="L156" i="51"/>
  <c r="AK28" i="60"/>
  <c r="AK38" i="60" s="1"/>
  <c r="M145" i="51"/>
  <c r="M143" i="51" s="1"/>
  <c r="I36" i="51"/>
  <c r="J162" i="51"/>
  <c r="L63" i="51"/>
  <c r="J63" i="51"/>
  <c r="K63" i="51"/>
  <c r="M63" i="51"/>
  <c r="J37" i="51"/>
  <c r="I59" i="51"/>
  <c r="L28" i="34" l="1"/>
  <c r="AY28" i="60"/>
  <c r="D30" i="60"/>
  <c r="M164" i="51"/>
  <c r="J155" i="51"/>
  <c r="M172" i="51" l="1"/>
  <c r="X13" i="61"/>
  <c r="M21" i="34"/>
  <c r="Y15" i="34" s="1"/>
  <c r="BB28" i="60"/>
  <c r="J154" i="51"/>
  <c r="J164" i="51" l="1"/>
  <c r="J21" i="34" s="1"/>
  <c r="I21" i="51" l="1"/>
  <c r="I22" i="51" s="1"/>
  <c r="I26" i="51"/>
  <c r="K27" i="51"/>
  <c r="L27" i="51"/>
  <c r="M27" i="51"/>
  <c r="M16" i="51" s="1"/>
  <c r="J27" i="51"/>
  <c r="J20" i="51"/>
  <c r="J335" i="45" l="1"/>
  <c r="J350" i="45"/>
  <c r="M350" i="45"/>
  <c r="J349" i="45"/>
  <c r="J346" i="45"/>
  <c r="J345" i="45"/>
  <c r="J344" i="45"/>
  <c r="J194" i="45"/>
  <c r="J193" i="45"/>
  <c r="AU10" i="60" l="1"/>
  <c r="AY10" i="60" s="1"/>
  <c r="M38" i="34"/>
  <c r="J196" i="45"/>
  <c r="J343" i="45"/>
  <c r="J342" i="45" s="1"/>
  <c r="M29" i="34"/>
  <c r="L242" i="45" l="1"/>
  <c r="M242" i="45"/>
  <c r="J242" i="45"/>
  <c r="K310" i="45" l="1"/>
  <c r="H310" i="45"/>
  <c r="J307" i="45"/>
  <c r="J306" i="45"/>
  <c r="K288" i="45"/>
  <c r="L288" i="45"/>
  <c r="M288" i="45"/>
  <c r="H288" i="45"/>
  <c r="J287" i="45"/>
  <c r="J286" i="45"/>
  <c r="J274" i="45"/>
  <c r="K274" i="45"/>
  <c r="L274" i="45"/>
  <c r="M274" i="45"/>
  <c r="H274" i="45"/>
  <c r="J341" i="45" l="1"/>
  <c r="I274" i="45"/>
  <c r="L352" i="45"/>
  <c r="M352" i="45"/>
  <c r="J347" i="45"/>
  <c r="H352" i="45"/>
  <c r="I310" i="45"/>
  <c r="K352" i="45"/>
  <c r="I288" i="45"/>
  <c r="F279" i="45"/>
  <c r="J310" i="45"/>
  <c r="J288" i="45"/>
  <c r="J352" i="45" s="1"/>
  <c r="H250" i="45"/>
  <c r="I250" i="45" s="1"/>
  <c r="I352" i="45" l="1"/>
  <c r="J340" i="45"/>
  <c r="J351" i="45" s="1"/>
  <c r="J15" i="34" s="1"/>
  <c r="I329" i="45"/>
  <c r="J328" i="45"/>
  <c r="I327" i="45"/>
  <c r="M328" i="45"/>
  <c r="M245" i="45" s="1"/>
  <c r="J330" i="45"/>
  <c r="M335" i="45"/>
  <c r="K333" i="45"/>
  <c r="L333" i="45"/>
  <c r="M333" i="45"/>
  <c r="J333" i="45"/>
  <c r="K163" i="45"/>
  <c r="L163" i="45"/>
  <c r="J163" i="45"/>
  <c r="J161" i="45" s="1"/>
  <c r="M331" i="45" l="1"/>
  <c r="J245" i="45"/>
  <c r="M163" i="45"/>
  <c r="M161" i="45" s="1"/>
  <c r="M340" i="45"/>
  <c r="M351" i="45" s="1"/>
  <c r="M358" i="45" s="1"/>
  <c r="J331" i="45"/>
  <c r="M15" i="34" l="1"/>
  <c r="S15" i="34" s="1"/>
  <c r="M353" i="45"/>
  <c r="BB10" i="60"/>
  <c r="J21" i="45"/>
  <c r="K40" i="46"/>
  <c r="L40" i="46"/>
  <c r="M40" i="46"/>
  <c r="J40" i="46"/>
  <c r="J77" i="46"/>
  <c r="J72" i="46"/>
  <c r="I15" i="46"/>
  <c r="M13" i="46"/>
  <c r="J13" i="46"/>
  <c r="J73" i="46" l="1"/>
  <c r="J65" i="46" l="1"/>
  <c r="J42" i="46"/>
  <c r="M42" i="46"/>
  <c r="M28" i="46" l="1"/>
  <c r="L28" i="46"/>
  <c r="J28" i="46"/>
  <c r="J71" i="46"/>
  <c r="J70" i="46" l="1"/>
  <c r="J79" i="46" s="1"/>
  <c r="T15" i="34" l="1"/>
  <c r="BB13" i="60"/>
  <c r="J16" i="34"/>
  <c r="G195" i="52"/>
  <c r="J35" i="34" s="1"/>
  <c r="E191" i="52"/>
  <c r="E195" i="52"/>
  <c r="E160" i="52"/>
  <c r="G198" i="52" l="1"/>
  <c r="J38" i="34" s="1"/>
  <c r="H194" i="52"/>
  <c r="K34" i="34" s="1"/>
  <c r="G194" i="52"/>
  <c r="J34" i="34" s="1"/>
  <c r="G178" i="52"/>
  <c r="J160" i="52"/>
  <c r="H160" i="52"/>
  <c r="G140" i="52"/>
  <c r="G141" i="52" s="1"/>
  <c r="H130" i="52"/>
  <c r="J130" i="52"/>
  <c r="G130" i="52"/>
  <c r="H124" i="52"/>
  <c r="G124" i="52"/>
  <c r="H85" i="52"/>
  <c r="J74" i="52"/>
  <c r="G85" i="52"/>
  <c r="G74" i="52" s="1"/>
  <c r="H40" i="52"/>
  <c r="H31" i="52"/>
  <c r="G31" i="52"/>
  <c r="E31" i="52"/>
  <c r="H25" i="52"/>
  <c r="G25" i="52"/>
  <c r="G187" i="52"/>
  <c r="G160" i="52"/>
  <c r="H141" i="52"/>
  <c r="I141" i="52"/>
  <c r="J141" i="52"/>
  <c r="E140" i="52"/>
  <c r="F186" i="52"/>
  <c r="F185" i="52"/>
  <c r="E71" i="52"/>
  <c r="E73" i="52" s="1"/>
  <c r="F73" i="52" s="1"/>
  <c r="H69" i="52"/>
  <c r="H70" i="52" s="1"/>
  <c r="G69" i="52"/>
  <c r="G191" i="52" s="1"/>
  <c r="J29" i="34" s="1"/>
  <c r="E70" i="52"/>
  <c r="J86" i="52" l="1"/>
  <c r="G70" i="52"/>
  <c r="G200" i="52"/>
  <c r="J40" i="34" s="1"/>
  <c r="F69" i="52"/>
  <c r="G66" i="52" l="1"/>
  <c r="G179" i="52" l="1"/>
  <c r="J179" i="52"/>
  <c r="H178" i="52"/>
  <c r="B31" i="60" s="1"/>
  <c r="B33" i="60" l="1"/>
  <c r="H190" i="52"/>
  <c r="H187" i="52"/>
  <c r="H200" i="52" s="1"/>
  <c r="J187" i="52"/>
  <c r="J200" i="52" s="1"/>
  <c r="M40" i="34" s="1"/>
  <c r="I187" i="52"/>
  <c r="I200" i="52" s="1"/>
  <c r="I188" i="52"/>
  <c r="J66" i="52"/>
  <c r="F60" i="52"/>
  <c r="I61" i="52"/>
  <c r="J61" i="52"/>
  <c r="G60" i="52"/>
  <c r="G61" i="52" s="1"/>
  <c r="G57" i="52" s="1"/>
  <c r="G41" i="52"/>
  <c r="F44" i="52"/>
  <c r="F21" i="52"/>
  <c r="F27" i="52"/>
  <c r="F28" i="52"/>
  <c r="F32" i="52"/>
  <c r="F34" i="52"/>
  <c r="F38" i="52"/>
  <c r="F39" i="52"/>
  <c r="F41" i="52"/>
  <c r="F42" i="52"/>
  <c r="F45" i="52"/>
  <c r="F46" i="52"/>
  <c r="F47" i="52"/>
  <c r="F48" i="52"/>
  <c r="F51" i="52"/>
  <c r="F53" i="52"/>
  <c r="F58" i="52"/>
  <c r="F62" i="52"/>
  <c r="F64" i="52"/>
  <c r="F65" i="52"/>
  <c r="F67" i="52"/>
  <c r="F71" i="52"/>
  <c r="F75" i="52"/>
  <c r="F77" i="52"/>
  <c r="F79" i="52"/>
  <c r="F81" i="52"/>
  <c r="F83" i="52"/>
  <c r="F132" i="52"/>
  <c r="F135" i="52"/>
  <c r="F136" i="52"/>
  <c r="F137" i="52"/>
  <c r="F138" i="52"/>
  <c r="F139" i="52"/>
  <c r="F142" i="52"/>
  <c r="F143" i="52"/>
  <c r="F144" i="52"/>
  <c r="F145" i="52"/>
  <c r="F146" i="52"/>
  <c r="F147" i="52"/>
  <c r="F148" i="52"/>
  <c r="F149" i="52"/>
  <c r="F150" i="52"/>
  <c r="F156" i="52"/>
  <c r="F157" i="52"/>
  <c r="F158" i="52"/>
  <c r="F165" i="52"/>
  <c r="F167" i="52"/>
  <c r="F170" i="52"/>
  <c r="F173" i="52"/>
  <c r="F176" i="52"/>
  <c r="I41" i="52"/>
  <c r="J41" i="52"/>
  <c r="G166" i="52"/>
  <c r="H166" i="52"/>
  <c r="I166" i="52"/>
  <c r="I162" i="52" s="1"/>
  <c r="J166" i="52"/>
  <c r="J162" i="52" s="1"/>
  <c r="G169" i="52"/>
  <c r="G163" i="52"/>
  <c r="G197" i="52" s="1"/>
  <c r="J37" i="34" s="1"/>
  <c r="G162" i="52"/>
  <c r="H163" i="52"/>
  <c r="BE15" i="60" s="1"/>
  <c r="G175" i="52"/>
  <c r="H175" i="52"/>
  <c r="J175" i="52"/>
  <c r="G104" i="52"/>
  <c r="G92" i="52" s="1"/>
  <c r="G86" i="52" s="1"/>
  <c r="E105" i="52"/>
  <c r="G54" i="52"/>
  <c r="H54" i="52"/>
  <c r="I54" i="52"/>
  <c r="J54" i="52"/>
  <c r="G52" i="52"/>
  <c r="H52" i="52"/>
  <c r="I52" i="52"/>
  <c r="J52" i="52"/>
  <c r="H43" i="52"/>
  <c r="G40" i="52"/>
  <c r="I40" i="52"/>
  <c r="J40" i="52"/>
  <c r="G37" i="52"/>
  <c r="H37" i="52"/>
  <c r="I37" i="52"/>
  <c r="J37" i="52"/>
  <c r="G35" i="52"/>
  <c r="H35" i="52"/>
  <c r="I35" i="52"/>
  <c r="J35" i="52"/>
  <c r="G33" i="52"/>
  <c r="H33" i="52"/>
  <c r="I33" i="52"/>
  <c r="J33" i="52"/>
  <c r="E33" i="52"/>
  <c r="E25" i="52"/>
  <c r="BI15" i="60" l="1"/>
  <c r="BE18" i="60"/>
  <c r="J190" i="52"/>
  <c r="M27" i="34" s="1"/>
  <c r="D31" i="60"/>
  <c r="D38" i="60" s="1"/>
  <c r="D40" i="60" s="1"/>
  <c r="I190" i="52"/>
  <c r="I189" i="52" s="1"/>
  <c r="I199" i="52" s="1"/>
  <c r="V11" i="61" s="1"/>
  <c r="C31" i="60"/>
  <c r="C33" i="60" s="1"/>
  <c r="H207" i="52"/>
  <c r="F31" i="60"/>
  <c r="F38" i="60" s="1"/>
  <c r="F40" i="60" s="1"/>
  <c r="H197" i="52"/>
  <c r="J43" i="52"/>
  <c r="J19" i="52" s="1"/>
  <c r="F163" i="52"/>
  <c r="H164" i="52"/>
  <c r="I43" i="52"/>
  <c r="I184" i="52"/>
  <c r="G43" i="52"/>
  <c r="G19" i="52" s="1"/>
  <c r="G190" i="52"/>
  <c r="J184" i="52"/>
  <c r="J164" i="52"/>
  <c r="J161" i="52" s="1"/>
  <c r="H184" i="52"/>
  <c r="I164" i="52"/>
  <c r="J57" i="52"/>
  <c r="F33" i="52"/>
  <c r="G164" i="52"/>
  <c r="G161" i="52" s="1"/>
  <c r="G50" i="52"/>
  <c r="J50" i="52"/>
  <c r="Q40" i="34" l="1"/>
  <c r="P41" i="34" s="1"/>
  <c r="Q41" i="34" s="1"/>
  <c r="M25" i="34"/>
  <c r="BE37" i="60"/>
  <c r="BE41" i="60" s="1"/>
  <c r="BE45" i="60" s="1"/>
  <c r="BE20" i="60"/>
  <c r="F33" i="60"/>
  <c r="D33" i="60"/>
  <c r="AX31" i="60"/>
  <c r="AY31" i="60"/>
  <c r="J189" i="52"/>
  <c r="J199" i="52" s="1"/>
  <c r="G189" i="52"/>
  <c r="G199" i="52" s="1"/>
  <c r="J22" i="34" s="1"/>
  <c r="J27" i="34"/>
  <c r="J25" i="34" s="1"/>
  <c r="E194" i="52"/>
  <c r="H188" i="52"/>
  <c r="E188" i="52"/>
  <c r="E187" i="52"/>
  <c r="I179" i="52"/>
  <c r="E178" i="52"/>
  <c r="E179" i="52" s="1"/>
  <c r="I177" i="52"/>
  <c r="H177" i="52"/>
  <c r="E177" i="52"/>
  <c r="E172" i="52"/>
  <c r="I171" i="52"/>
  <c r="H171" i="52"/>
  <c r="E171" i="52"/>
  <c r="E169" i="52"/>
  <c r="F169" i="52" s="1"/>
  <c r="E166" i="52"/>
  <c r="F166" i="52" s="1"/>
  <c r="E162" i="52"/>
  <c r="I160" i="52"/>
  <c r="I151" i="52"/>
  <c r="H151" i="52"/>
  <c r="E151" i="52"/>
  <c r="F140" i="52"/>
  <c r="E134" i="52"/>
  <c r="I133" i="52"/>
  <c r="H133" i="52"/>
  <c r="F133" i="52" s="1"/>
  <c r="I131" i="52"/>
  <c r="H131" i="52"/>
  <c r="F131" i="52" s="1"/>
  <c r="E116" i="52"/>
  <c r="F116" i="52" s="1"/>
  <c r="E95" i="52"/>
  <c r="E89" i="52" s="1"/>
  <c r="E93" i="52"/>
  <c r="E85" i="52"/>
  <c r="I82" i="52"/>
  <c r="H82" i="52"/>
  <c r="E82" i="52"/>
  <c r="I80" i="52"/>
  <c r="H80" i="52"/>
  <c r="E80" i="52"/>
  <c r="I78" i="52"/>
  <c r="H78" i="52"/>
  <c r="E78" i="52"/>
  <c r="I76" i="52"/>
  <c r="H76" i="52"/>
  <c r="E76" i="52"/>
  <c r="I66" i="52"/>
  <c r="H66" i="52"/>
  <c r="E66" i="52"/>
  <c r="H61" i="52"/>
  <c r="E61" i="52"/>
  <c r="I59" i="52"/>
  <c r="H59" i="52"/>
  <c r="E59" i="52"/>
  <c r="I56" i="52"/>
  <c r="I50" i="52" s="1"/>
  <c r="H56" i="52"/>
  <c r="H50" i="52" s="1"/>
  <c r="E56" i="52"/>
  <c r="E54" i="52"/>
  <c r="F54" i="52" s="1"/>
  <c r="E52" i="52"/>
  <c r="F52" i="52" s="1"/>
  <c r="I49" i="52"/>
  <c r="H49" i="52"/>
  <c r="E49" i="52"/>
  <c r="E43" i="52"/>
  <c r="F43" i="52" s="1"/>
  <c r="E40" i="52"/>
  <c r="F40" i="52" s="1"/>
  <c r="E37" i="52"/>
  <c r="F37" i="52" s="1"/>
  <c r="E35" i="52"/>
  <c r="F35" i="52" s="1"/>
  <c r="F31" i="52"/>
  <c r="B10" i="52"/>
  <c r="A10" i="52"/>
  <c r="B9" i="52"/>
  <c r="A9" i="52"/>
  <c r="B8" i="52"/>
  <c r="A8" i="52"/>
  <c r="B7" i="52"/>
  <c r="A7" i="52"/>
  <c r="B6" i="52"/>
  <c r="A6" i="52"/>
  <c r="B5" i="52"/>
  <c r="A5" i="52"/>
  <c r="B4" i="52"/>
  <c r="A4" i="52"/>
  <c r="J197" i="56"/>
  <c r="I197" i="56"/>
  <c r="J198" i="56"/>
  <c r="J208" i="56" s="1"/>
  <c r="J33" i="56"/>
  <c r="J18" i="56" s="1"/>
  <c r="U95" i="56"/>
  <c r="M197" i="56"/>
  <c r="M162" i="56"/>
  <c r="M128" i="56"/>
  <c r="M125" i="56"/>
  <c r="M122" i="56"/>
  <c r="M106" i="56"/>
  <c r="M95" i="56" s="1"/>
  <c r="M36" i="56"/>
  <c r="M35" i="56"/>
  <c r="M18" i="56" s="1"/>
  <c r="K29" i="51"/>
  <c r="L29" i="51"/>
  <c r="L158" i="51" s="1"/>
  <c r="H29" i="51"/>
  <c r="L33" i="51"/>
  <c r="K33" i="51"/>
  <c r="H33" i="51"/>
  <c r="G33" i="51"/>
  <c r="E33" i="51"/>
  <c r="F32" i="51"/>
  <c r="F31" i="51"/>
  <c r="L142" i="50"/>
  <c r="K142" i="50"/>
  <c r="H142" i="50"/>
  <c r="H95" i="50"/>
  <c r="H50" i="46"/>
  <c r="H47" i="46"/>
  <c r="I47" i="46" s="1"/>
  <c r="H55" i="46"/>
  <c r="G55" i="46"/>
  <c r="E55" i="46"/>
  <c r="F53" i="46"/>
  <c r="L330" i="45"/>
  <c r="K330" i="45"/>
  <c r="H330" i="45"/>
  <c r="I330" i="45" s="1"/>
  <c r="G330" i="45"/>
  <c r="E330" i="45"/>
  <c r="C330" i="45"/>
  <c r="B330" i="45"/>
  <c r="F329" i="45"/>
  <c r="L328" i="45"/>
  <c r="K328" i="45"/>
  <c r="H328" i="45"/>
  <c r="G328" i="45"/>
  <c r="E328" i="45"/>
  <c r="C328" i="45"/>
  <c r="B328" i="45"/>
  <c r="F327" i="45"/>
  <c r="H281" i="49"/>
  <c r="I281" i="49" s="1"/>
  <c r="H126" i="49"/>
  <c r="I126" i="49" s="1"/>
  <c r="H164" i="50"/>
  <c r="I164" i="50" s="1"/>
  <c r="H20" i="51"/>
  <c r="I20" i="51" s="1"/>
  <c r="H35" i="51"/>
  <c r="H87" i="51"/>
  <c r="H89" i="51" s="1"/>
  <c r="H13" i="50"/>
  <c r="J210" i="52" l="1"/>
  <c r="X11" i="61"/>
  <c r="I210" i="52"/>
  <c r="M22" i="34"/>
  <c r="Z15" i="34" s="1"/>
  <c r="BB31" i="60"/>
  <c r="I328" i="45"/>
  <c r="H245" i="45"/>
  <c r="H15" i="50"/>
  <c r="I15" i="50" s="1"/>
  <c r="I13" i="50"/>
  <c r="M117" i="56"/>
  <c r="J39" i="34"/>
  <c r="J14" i="34"/>
  <c r="J24" i="34" s="1"/>
  <c r="H158" i="51"/>
  <c r="I158" i="51" s="1"/>
  <c r="I29" i="51"/>
  <c r="L30" i="51"/>
  <c r="K158" i="51"/>
  <c r="K30" i="51"/>
  <c r="H37" i="51"/>
  <c r="I37" i="51" s="1"/>
  <c r="I35" i="51"/>
  <c r="H52" i="46"/>
  <c r="I161" i="52"/>
  <c r="E74" i="52"/>
  <c r="E184" i="52"/>
  <c r="F184" i="52" s="1"/>
  <c r="F187" i="52"/>
  <c r="F49" i="52"/>
  <c r="F80" i="52"/>
  <c r="F66" i="52"/>
  <c r="F177" i="52"/>
  <c r="F171" i="52"/>
  <c r="F191" i="52"/>
  <c r="F61" i="52"/>
  <c r="F82" i="52"/>
  <c r="F160" i="52"/>
  <c r="F194" i="52"/>
  <c r="F76" i="52"/>
  <c r="E164" i="52"/>
  <c r="F162" i="52"/>
  <c r="E118" i="52"/>
  <c r="F118" i="52" s="1"/>
  <c r="E175" i="52"/>
  <c r="F175" i="52" s="1"/>
  <c r="F172" i="52"/>
  <c r="F78" i="52"/>
  <c r="F85" i="52"/>
  <c r="H87" i="52"/>
  <c r="H195" i="52" s="1"/>
  <c r="F59" i="52"/>
  <c r="F70" i="52"/>
  <c r="F151" i="52"/>
  <c r="H179" i="52"/>
  <c r="F179" i="52" s="1"/>
  <c r="F178" i="52"/>
  <c r="E19" i="52"/>
  <c r="H57" i="52"/>
  <c r="I57" i="52"/>
  <c r="E124" i="52"/>
  <c r="I134" i="52"/>
  <c r="E57" i="52"/>
  <c r="I74" i="52"/>
  <c r="H19" i="52"/>
  <c r="H74" i="52"/>
  <c r="E87" i="52"/>
  <c r="E190" i="52"/>
  <c r="E197" i="52"/>
  <c r="E50" i="52"/>
  <c r="F50" i="52" s="1"/>
  <c r="H134" i="52"/>
  <c r="F134" i="52" s="1"/>
  <c r="I19" i="52"/>
  <c r="E97" i="52"/>
  <c r="E141" i="52"/>
  <c r="F141" i="52" s="1"/>
  <c r="F33" i="51"/>
  <c r="F328" i="45"/>
  <c r="M131" i="56"/>
  <c r="F55" i="46"/>
  <c r="F330" i="45"/>
  <c r="H83" i="48"/>
  <c r="I83" i="48" s="1"/>
  <c r="H20" i="48"/>
  <c r="I20" i="48" s="1"/>
  <c r="H77" i="46"/>
  <c r="I77" i="46" s="1"/>
  <c r="H26" i="46"/>
  <c r="H28" i="46" s="1"/>
  <c r="X15" i="61" l="1"/>
  <c r="W11" i="61" s="1"/>
  <c r="BA31" i="60"/>
  <c r="L22" i="34"/>
  <c r="I52" i="46"/>
  <c r="H189" i="52"/>
  <c r="AS31" i="60"/>
  <c r="AW31" i="60" s="1"/>
  <c r="M208" i="56"/>
  <c r="M226" i="56" s="1"/>
  <c r="M228" i="56" s="1"/>
  <c r="F197" i="52"/>
  <c r="E189" i="52"/>
  <c r="H198" i="52"/>
  <c r="H92" i="52"/>
  <c r="I92" i="52"/>
  <c r="I86" i="52" s="1"/>
  <c r="F164" i="52"/>
  <c r="E161" i="52"/>
  <c r="H161" i="52"/>
  <c r="F19" i="52"/>
  <c r="F74" i="52"/>
  <c r="F57" i="52"/>
  <c r="F200" i="52"/>
  <c r="E204" i="52"/>
  <c r="E92" i="52"/>
  <c r="E198" i="52"/>
  <c r="H91" i="45"/>
  <c r="H159" i="45"/>
  <c r="W12" i="61" l="1"/>
  <c r="W13" i="61"/>
  <c r="M14" i="34"/>
  <c r="M24" i="34" s="1"/>
  <c r="M39" i="34"/>
  <c r="F195" i="52"/>
  <c r="L81" i="46"/>
  <c r="M81" i="46"/>
  <c r="BB7" i="60"/>
  <c r="H199" i="52"/>
  <c r="T11" i="61" s="1"/>
  <c r="T14" i="34"/>
  <c r="J201" i="52"/>
  <c r="Z14" i="34"/>
  <c r="F198" i="52"/>
  <c r="E199" i="52"/>
  <c r="H22" i="34" s="1"/>
  <c r="F190" i="52"/>
  <c r="F161" i="52"/>
  <c r="H86" i="52"/>
  <c r="E86" i="52"/>
  <c r="H236" i="45"/>
  <c r="H234" i="45"/>
  <c r="H235" i="45" s="1"/>
  <c r="H48" i="47"/>
  <c r="H66" i="47"/>
  <c r="H22" i="49"/>
  <c r="H24" i="47"/>
  <c r="H29" i="47" s="1"/>
  <c r="H71" i="45"/>
  <c r="H153" i="45"/>
  <c r="H156" i="45" s="1"/>
  <c r="H99" i="45"/>
  <c r="H87" i="45"/>
  <c r="H90" i="45" s="1"/>
  <c r="H22" i="45"/>
  <c r="H105" i="45"/>
  <c r="H36" i="45"/>
  <c r="H111" i="45"/>
  <c r="H41" i="45"/>
  <c r="H93" i="45"/>
  <c r="H26" i="45"/>
  <c r="H60" i="45"/>
  <c r="H55" i="45"/>
  <c r="H51" i="45"/>
  <c r="H46" i="45"/>
  <c r="H28" i="51"/>
  <c r="H26" i="56"/>
  <c r="AZ31" i="60" l="1"/>
  <c r="H210" i="52"/>
  <c r="R15" i="34"/>
  <c r="K22" i="34"/>
  <c r="I22" i="34" s="1"/>
  <c r="H30" i="51"/>
  <c r="I28" i="51"/>
  <c r="H224" i="45"/>
  <c r="I224" i="45" s="1"/>
  <c r="H201" i="52"/>
  <c r="I201" i="52"/>
  <c r="F189" i="52"/>
  <c r="F199" i="52"/>
  <c r="F86" i="52"/>
  <c r="H127" i="49"/>
  <c r="I127" i="49" s="1"/>
  <c r="H173" i="54"/>
  <c r="I173" i="54" s="1"/>
  <c r="H172" i="54"/>
  <c r="I172" i="54" s="1"/>
  <c r="H186" i="54"/>
  <c r="I186" i="54" s="1"/>
  <c r="Z13" i="34" l="1"/>
  <c r="F201" i="52"/>
  <c r="H165" i="45"/>
  <c r="H162" i="45" s="1"/>
  <c r="I162" i="45" s="1"/>
  <c r="H28" i="49"/>
  <c r="H30" i="49"/>
  <c r="H25" i="49"/>
  <c r="H107" i="49"/>
  <c r="I107" i="49" s="1"/>
  <c r="H154" i="49"/>
  <c r="I154" i="49" s="1"/>
  <c r="H85" i="56"/>
  <c r="H261" i="54"/>
  <c r="I261" i="54" s="1"/>
  <c r="H165" i="50"/>
  <c r="H135" i="54"/>
  <c r="H136" i="54" s="1"/>
  <c r="G135" i="54"/>
  <c r="G136" i="54" s="1"/>
  <c r="E135" i="54"/>
  <c r="E136" i="54" s="1"/>
  <c r="L142" i="54"/>
  <c r="K142" i="54"/>
  <c r="H142" i="54"/>
  <c r="G142" i="54"/>
  <c r="E142" i="54"/>
  <c r="C142" i="54"/>
  <c r="L139" i="54"/>
  <c r="K139" i="54"/>
  <c r="G139" i="54"/>
  <c r="E139" i="54"/>
  <c r="H109" i="54"/>
  <c r="I109" i="54" s="1"/>
  <c r="H200" i="56" l="1"/>
  <c r="I85" i="56"/>
  <c r="F142" i="54"/>
  <c r="G79" i="50"/>
  <c r="F79" i="50"/>
  <c r="E79" i="50"/>
  <c r="H79" i="50"/>
  <c r="E162" i="50"/>
  <c r="G281" i="49"/>
  <c r="E281" i="49"/>
  <c r="T95" i="56"/>
  <c r="S95" i="56"/>
  <c r="R95" i="56"/>
  <c r="E200" i="56"/>
  <c r="H64" i="56"/>
  <c r="I64" i="56" s="1"/>
  <c r="I157" i="50" l="1"/>
  <c r="K156" i="50"/>
  <c r="K79" i="50"/>
  <c r="K167" i="50" s="1"/>
  <c r="I200" i="56"/>
  <c r="H43" i="51"/>
  <c r="H18" i="49" l="1"/>
  <c r="I18" i="49" s="1"/>
  <c r="H19" i="47"/>
  <c r="H18" i="45"/>
  <c r="I18" i="45" s="1"/>
  <c r="H72" i="54"/>
  <c r="I72" i="54" s="1"/>
  <c r="H16" i="49"/>
  <c r="I16" i="49" l="1"/>
  <c r="F24" i="56"/>
  <c r="F118" i="56"/>
  <c r="H16" i="45"/>
  <c r="I16" i="45" s="1"/>
  <c r="C51" i="58"/>
  <c r="C48" i="58"/>
  <c r="C44" i="58"/>
  <c r="C43" i="58"/>
  <c r="C38" i="58"/>
  <c r="C35" i="58"/>
  <c r="C33" i="58"/>
  <c r="C30" i="58"/>
  <c r="C28" i="58"/>
  <c r="C25" i="58"/>
  <c r="C22" i="58"/>
  <c r="C16" i="58"/>
  <c r="C11" i="58"/>
  <c r="C8" i="58"/>
  <c r="F26" i="56" l="1"/>
  <c r="H172" i="50"/>
  <c r="H156" i="51"/>
  <c r="I156" i="51" s="1"/>
  <c r="K170" i="54" l="1"/>
  <c r="K166" i="54" s="1"/>
  <c r="L170" i="54"/>
  <c r="L166" i="54" s="1"/>
  <c r="H167" i="54"/>
  <c r="I167" i="54" s="1"/>
  <c r="H228" i="45"/>
  <c r="H223" i="45" l="1"/>
  <c r="H232" i="45"/>
  <c r="H174" i="54"/>
  <c r="H283" i="49"/>
  <c r="I283" i="49" s="1"/>
  <c r="E254" i="49"/>
  <c r="H23" i="49"/>
  <c r="H17" i="49" s="1"/>
  <c r="H78" i="48"/>
  <c r="F32" i="47"/>
  <c r="I17" i="49" l="1"/>
  <c r="H227" i="45"/>
  <c r="I227" i="45" s="1"/>
  <c r="I223" i="45"/>
  <c r="H91" i="48"/>
  <c r="I78" i="48"/>
  <c r="H168" i="54"/>
  <c r="I174" i="54"/>
  <c r="H31" i="47"/>
  <c r="H67" i="45"/>
  <c r="H61" i="45"/>
  <c r="H56" i="45"/>
  <c r="H47" i="45"/>
  <c r="H37" i="45"/>
  <c r="H40" i="45" s="1"/>
  <c r="H27" i="45"/>
  <c r="H18" i="47" l="1"/>
  <c r="H119" i="47" s="1"/>
  <c r="H36" i="47"/>
  <c r="H170" i="54"/>
  <c r="I170" i="54" s="1"/>
  <c r="I168" i="54"/>
  <c r="H17" i="45"/>
  <c r="I17" i="45" s="1"/>
  <c r="H81" i="56"/>
  <c r="I81" i="56" s="1"/>
  <c r="AW22" i="60" l="1"/>
  <c r="H346" i="45"/>
  <c r="I346" i="45" s="1"/>
  <c r="H104" i="49"/>
  <c r="I104" i="49" s="1"/>
  <c r="H99" i="47"/>
  <c r="H89" i="47"/>
  <c r="H81" i="48" l="1"/>
  <c r="I81" i="48" s="1"/>
  <c r="H160" i="51"/>
  <c r="I160" i="51" s="1"/>
  <c r="F81" i="54"/>
  <c r="F46" i="54"/>
  <c r="F43" i="54"/>
  <c r="F42" i="54"/>
  <c r="F40" i="54"/>
  <c r="F25" i="54"/>
  <c r="K275" i="49" l="1"/>
  <c r="F144" i="51"/>
  <c r="F141" i="51"/>
  <c r="F98" i="51"/>
  <c r="F87" i="51"/>
  <c r="F78" i="51"/>
  <c r="F74" i="51"/>
  <c r="F61" i="51"/>
  <c r="F60" i="51"/>
  <c r="F54" i="51"/>
  <c r="F67" i="48"/>
  <c r="F66" i="48"/>
  <c r="F65" i="48"/>
  <c r="F64" i="48"/>
  <c r="F62" i="48"/>
  <c r="F60" i="48"/>
  <c r="F57" i="48"/>
  <c r="F55" i="48"/>
  <c r="F49" i="48"/>
  <c r="F47" i="48"/>
  <c r="F44" i="48"/>
  <c r="F40" i="48"/>
  <c r="F42" i="48"/>
  <c r="F38" i="48"/>
  <c r="F35" i="48"/>
  <c r="F33" i="48"/>
  <c r="F31" i="48"/>
  <c r="F28" i="48"/>
  <c r="F23" i="48"/>
  <c r="F21" i="48"/>
  <c r="F18" i="48"/>
  <c r="H123" i="47"/>
  <c r="F113" i="47"/>
  <c r="F112" i="47"/>
  <c r="F111" i="47"/>
  <c r="F108" i="47"/>
  <c r="F107" i="47"/>
  <c r="F106" i="47"/>
  <c r="F102" i="47"/>
  <c r="F101" i="47"/>
  <c r="F97" i="47"/>
  <c r="F96" i="47"/>
  <c r="F95" i="47"/>
  <c r="F92" i="47"/>
  <c r="F74" i="47"/>
  <c r="F73" i="47"/>
  <c r="F69" i="47"/>
  <c r="F59" i="47"/>
  <c r="F55" i="47"/>
  <c r="F52" i="47"/>
  <c r="F47" i="47"/>
  <c r="F45" i="47"/>
  <c r="F37" i="47"/>
  <c r="F30" i="47"/>
  <c r="F26" i="47"/>
  <c r="F25" i="47"/>
  <c r="F24" i="47"/>
  <c r="F64" i="46"/>
  <c r="F47" i="46"/>
  <c r="F45" i="46"/>
  <c r="F41" i="46"/>
  <c r="F39" i="46"/>
  <c r="F26" i="46"/>
  <c r="F15" i="46"/>
  <c r="F37" i="56"/>
  <c r="F32" i="56"/>
  <c r="F20" i="56"/>
  <c r="F35" i="51" l="1"/>
  <c r="F34" i="51"/>
  <c r="F28" i="51"/>
  <c r="F26" i="51"/>
  <c r="F21" i="51"/>
  <c r="F17" i="51"/>
  <c r="F18" i="51"/>
  <c r="K342" i="45" l="1"/>
  <c r="K29" i="34" s="1"/>
  <c r="H130" i="50"/>
  <c r="I130" i="50" s="1"/>
  <c r="G130" i="50"/>
  <c r="F130" i="50"/>
  <c r="E130" i="50"/>
  <c r="F332" i="45"/>
  <c r="F311" i="45"/>
  <c r="F308" i="45"/>
  <c r="F290" i="45"/>
  <c r="F289" i="45"/>
  <c r="F285" i="45"/>
  <c r="F275" i="45"/>
  <c r="F271" i="45"/>
  <c r="F247" i="45"/>
  <c r="F243" i="45"/>
  <c r="F241" i="45"/>
  <c r="H20" i="45" l="1"/>
  <c r="I20" i="45" s="1"/>
  <c r="K350" i="45"/>
  <c r="L350" i="45"/>
  <c r="G20" i="45"/>
  <c r="F193" i="45"/>
  <c r="H126" i="50"/>
  <c r="G126" i="50"/>
  <c r="F126" i="50"/>
  <c r="E126" i="50"/>
  <c r="AT10" i="60" l="1"/>
  <c r="AS10" i="60"/>
  <c r="AW10" i="60" s="1"/>
  <c r="H350" i="45"/>
  <c r="I350" i="45" s="1"/>
  <c r="H21" i="45"/>
  <c r="H143" i="49"/>
  <c r="I143" i="49" s="1"/>
  <c r="H268" i="49" l="1"/>
  <c r="I268" i="49" s="1"/>
  <c r="F227" i="49"/>
  <c r="F220" i="49"/>
  <c r="F205" i="49"/>
  <c r="F203" i="49"/>
  <c r="F185" i="49"/>
  <c r="F183" i="49"/>
  <c r="F182" i="49"/>
  <c r="F158" i="49"/>
  <c r="F149" i="49"/>
  <c r="F146" i="49"/>
  <c r="F141" i="49"/>
  <c r="F131" i="49"/>
  <c r="F128" i="49"/>
  <c r="F127" i="49"/>
  <c r="F119" i="49"/>
  <c r="F117" i="49"/>
  <c r="F115" i="49"/>
  <c r="F113" i="49"/>
  <c r="F108" i="49"/>
  <c r="F102" i="49"/>
  <c r="F98" i="49"/>
  <c r="F97" i="49"/>
  <c r="F93" i="49"/>
  <c r="E44" i="49"/>
  <c r="F42" i="49"/>
  <c r="F41" i="49"/>
  <c r="F35" i="49"/>
  <c r="F22" i="49" l="1"/>
  <c r="F25" i="49"/>
  <c r="F28" i="49"/>
  <c r="F29" i="49"/>
  <c r="F30" i="49"/>
  <c r="F39" i="50"/>
  <c r="F37" i="50"/>
  <c r="F13" i="50"/>
  <c r="H344" i="45" l="1"/>
  <c r="I344" i="45" s="1"/>
  <c r="H201" i="56"/>
  <c r="H19" i="46"/>
  <c r="H60" i="49"/>
  <c r="I60" i="49" s="1"/>
  <c r="H18" i="50"/>
  <c r="H74" i="49"/>
  <c r="I74" i="49" s="1"/>
  <c r="I18" i="50" l="1"/>
  <c r="H202" i="56"/>
  <c r="I202" i="56" s="1"/>
  <c r="I201" i="56"/>
  <c r="F18" i="50"/>
  <c r="H160" i="50"/>
  <c r="I160" i="50" l="1"/>
  <c r="H156" i="50"/>
  <c r="H38" i="49"/>
  <c r="I38" i="49" s="1"/>
  <c r="H61" i="49"/>
  <c r="I61" i="49" s="1"/>
  <c r="H175" i="49"/>
  <c r="I175" i="49" s="1"/>
  <c r="H82" i="45"/>
  <c r="H334" i="45"/>
  <c r="H150" i="49"/>
  <c r="F150" i="49" s="1"/>
  <c r="H105" i="49"/>
  <c r="H190" i="49"/>
  <c r="I190" i="49" s="1"/>
  <c r="F223" i="45"/>
  <c r="F105" i="49" l="1"/>
  <c r="I105" i="49"/>
  <c r="H345" i="45"/>
  <c r="I345" i="45" s="1"/>
  <c r="I334" i="45"/>
  <c r="H166" i="50"/>
  <c r="J168" i="50" s="1"/>
  <c r="I156" i="50"/>
  <c r="F38" i="49"/>
  <c r="H284" i="49"/>
  <c r="I284" i="49" s="1"/>
  <c r="H20" i="34" l="1"/>
  <c r="F284" i="49"/>
  <c r="H38" i="56" l="1"/>
  <c r="I38" i="56" s="1"/>
  <c r="H19" i="56"/>
  <c r="G19" i="56"/>
  <c r="H23" i="56" l="1"/>
  <c r="I23" i="56" s="1"/>
  <c r="I19" i="56"/>
  <c r="F38" i="56"/>
  <c r="F23" i="49"/>
  <c r="F31" i="47"/>
  <c r="H148" i="54"/>
  <c r="I148" i="54" s="1"/>
  <c r="H139" i="54" l="1"/>
  <c r="H260" i="54"/>
  <c r="I260" i="54" s="1"/>
  <c r="L335" i="45"/>
  <c r="L331" i="45" s="1"/>
  <c r="K335" i="45"/>
  <c r="H335" i="45"/>
  <c r="G335" i="45"/>
  <c r="E335" i="45"/>
  <c r="C335" i="45"/>
  <c r="I335" i="45" l="1"/>
  <c r="K331" i="45"/>
  <c r="F139" i="54"/>
  <c r="H28" i="34"/>
  <c r="I28" i="34" s="1"/>
  <c r="H58" i="49" l="1"/>
  <c r="I58" i="49" s="1"/>
  <c r="F194" i="45"/>
  <c r="H79" i="45"/>
  <c r="I79" i="45" s="1"/>
  <c r="G74" i="49"/>
  <c r="G60" i="49"/>
  <c r="H62" i="49"/>
  <c r="I62" i="49" s="1"/>
  <c r="I82" i="45" l="1"/>
  <c r="K84" i="45"/>
  <c r="AX10" i="60"/>
  <c r="L84" i="45"/>
  <c r="F58" i="49"/>
  <c r="H343" i="45"/>
  <c r="G88" i="49"/>
  <c r="G89" i="49" s="1"/>
  <c r="H88" i="49"/>
  <c r="G76" i="49"/>
  <c r="H76" i="49"/>
  <c r="I76" i="49" s="1"/>
  <c r="H124" i="54"/>
  <c r="H91" i="51"/>
  <c r="H95" i="51"/>
  <c r="H90" i="51" s="1"/>
  <c r="H162" i="51" s="1"/>
  <c r="I162" i="51" s="1"/>
  <c r="H45" i="50"/>
  <c r="I45" i="50" s="1"/>
  <c r="G45" i="50"/>
  <c r="H232" i="49"/>
  <c r="I232" i="49" s="1"/>
  <c r="H188" i="49"/>
  <c r="I188" i="49" s="1"/>
  <c r="H207" i="45"/>
  <c r="H205" i="45"/>
  <c r="I205" i="45" s="1"/>
  <c r="H349" i="45"/>
  <c r="I349" i="45" s="1"/>
  <c r="H176" i="45"/>
  <c r="H278" i="49" l="1"/>
  <c r="I278" i="49" s="1"/>
  <c r="I88" i="49"/>
  <c r="H342" i="45"/>
  <c r="I342" i="45" s="1"/>
  <c r="I343" i="45"/>
  <c r="F176" i="45"/>
  <c r="I176" i="45"/>
  <c r="H347" i="45"/>
  <c r="I347" i="45" s="1"/>
  <c r="H208" i="45"/>
  <c r="I208" i="45" s="1"/>
  <c r="I207" i="45"/>
  <c r="F90" i="51"/>
  <c r="H163" i="51"/>
  <c r="F91" i="51"/>
  <c r="F202" i="45"/>
  <c r="F205" i="45"/>
  <c r="H92" i="51"/>
  <c r="H89" i="49"/>
  <c r="I89" i="49" s="1"/>
  <c r="H180" i="56"/>
  <c r="H132" i="56"/>
  <c r="G132" i="56"/>
  <c r="I163" i="51" l="1"/>
  <c r="H38" i="34"/>
  <c r="H135" i="56"/>
  <c r="I132" i="56"/>
  <c r="F163" i="51"/>
  <c r="H227" i="54"/>
  <c r="I227" i="54" s="1"/>
  <c r="K227" i="54"/>
  <c r="L227" i="54"/>
  <c r="H89" i="54"/>
  <c r="I135" i="56" l="1"/>
  <c r="I89" i="54"/>
  <c r="H189" i="49"/>
  <c r="G108" i="49"/>
  <c r="F104" i="49"/>
  <c r="G104" i="49"/>
  <c r="H47" i="49"/>
  <c r="H81" i="47"/>
  <c r="H122" i="47" s="1"/>
  <c r="H14" i="46"/>
  <c r="I14" i="46" s="1"/>
  <c r="G14" i="46"/>
  <c r="H81" i="45"/>
  <c r="H160" i="45"/>
  <c r="F129" i="56"/>
  <c r="H163" i="56"/>
  <c r="F123" i="56"/>
  <c r="G30" i="56"/>
  <c r="H30" i="56"/>
  <c r="H276" i="49" l="1"/>
  <c r="I276" i="49" s="1"/>
  <c r="I47" i="49"/>
  <c r="H192" i="49"/>
  <c r="I192" i="49" s="1"/>
  <c r="I189" i="49"/>
  <c r="H341" i="45"/>
  <c r="I341" i="45" s="1"/>
  <c r="I81" i="45"/>
  <c r="H31" i="56"/>
  <c r="I31" i="56" s="1"/>
  <c r="I30" i="56"/>
  <c r="H71" i="46"/>
  <c r="F14" i="46"/>
  <c r="F47" i="49"/>
  <c r="H84" i="45"/>
  <c r="I84" i="45" s="1"/>
  <c r="H48" i="49"/>
  <c r="I48" i="49" s="1"/>
  <c r="F66" i="46" l="1"/>
  <c r="I71" i="46"/>
  <c r="H237" i="49"/>
  <c r="G237" i="49"/>
  <c r="G232" i="49"/>
  <c r="L36" i="48" l="1"/>
  <c r="L17" i="48" s="1"/>
  <c r="K36" i="48"/>
  <c r="H36" i="48"/>
  <c r="G36" i="48"/>
  <c r="E36" i="48"/>
  <c r="G217" i="54"/>
  <c r="F233" i="54"/>
  <c r="H234" i="54"/>
  <c r="I234" i="54" s="1"/>
  <c r="G234" i="54"/>
  <c r="H192" i="54"/>
  <c r="I192" i="54" s="1"/>
  <c r="G192" i="54"/>
  <c r="H97" i="54"/>
  <c r="I97" i="54" s="1"/>
  <c r="G97" i="54"/>
  <c r="E97" i="54"/>
  <c r="K17" i="48" l="1"/>
  <c r="I36" i="48"/>
  <c r="F36" i="48"/>
  <c r="F97" i="54"/>
  <c r="E268" i="49"/>
  <c r="F40" i="46" l="1"/>
  <c r="G40" i="46"/>
  <c r="H40" i="46"/>
  <c r="I40" i="46" s="1"/>
  <c r="G288" i="45"/>
  <c r="E288" i="45"/>
  <c r="G207" i="45"/>
  <c r="G206" i="45"/>
  <c r="G202" i="45"/>
  <c r="H340" i="45"/>
  <c r="H351" i="45" s="1"/>
  <c r="L205" i="45"/>
  <c r="L208" i="45" s="1"/>
  <c r="G205" i="45"/>
  <c r="F288" i="45" l="1"/>
  <c r="G208" i="45"/>
  <c r="G250" i="45" l="1"/>
  <c r="F64" i="54" l="1"/>
  <c r="F65" i="54"/>
  <c r="F66" i="54"/>
  <c r="F68" i="54"/>
  <c r="F69" i="54"/>
  <c r="F77" i="54"/>
  <c r="F79" i="54"/>
  <c r="F82" i="54"/>
  <c r="F84" i="54"/>
  <c r="F85" i="54"/>
  <c r="F87" i="54"/>
  <c r="F89" i="54"/>
  <c r="F107" i="54"/>
  <c r="F109" i="54"/>
  <c r="F111" i="54"/>
  <c r="F112" i="54"/>
  <c r="F120" i="54"/>
  <c r="F121" i="54"/>
  <c r="F122" i="54"/>
  <c r="F123" i="54"/>
  <c r="F130" i="54"/>
  <c r="F135" i="54"/>
  <c r="F147" i="54"/>
  <c r="F148" i="54"/>
  <c r="F155" i="54"/>
  <c r="F156" i="54"/>
  <c r="F157" i="54"/>
  <c r="F158" i="54"/>
  <c r="F159" i="54"/>
  <c r="F161" i="54"/>
  <c r="F162" i="54"/>
  <c r="F163" i="54"/>
  <c r="F167" i="54"/>
  <c r="F197" i="54"/>
  <c r="F200" i="54"/>
  <c r="F201" i="54"/>
  <c r="F207" i="54"/>
  <c r="F209" i="54"/>
  <c r="F211" i="54"/>
  <c r="F212" i="54"/>
  <c r="F213" i="54"/>
  <c r="F215" i="54"/>
  <c r="F217" i="54"/>
  <c r="F224" i="54"/>
  <c r="F226" i="54"/>
  <c r="F228" i="54"/>
  <c r="F230" i="54"/>
  <c r="F237" i="54"/>
  <c r="F239" i="54"/>
  <c r="F242" i="54"/>
  <c r="F245" i="54"/>
  <c r="F248" i="54"/>
  <c r="F264" i="54"/>
  <c r="A4" i="54" l="1"/>
  <c r="H91" i="50" l="1"/>
  <c r="I91" i="50" s="1"/>
  <c r="G91" i="50"/>
  <c r="E91" i="50"/>
  <c r="G160" i="50" l="1"/>
  <c r="H333" i="45" l="1"/>
  <c r="G333" i="45"/>
  <c r="F25" i="56"/>
  <c r="F27" i="56"/>
  <c r="F34" i="56"/>
  <c r="F45" i="56"/>
  <c r="F46" i="56"/>
  <c r="F48" i="56"/>
  <c r="F49" i="56"/>
  <c r="F51" i="56"/>
  <c r="F53" i="56"/>
  <c r="F55" i="56"/>
  <c r="F57" i="56"/>
  <c r="F59" i="56"/>
  <c r="F65" i="56"/>
  <c r="F67" i="56"/>
  <c r="F68" i="56"/>
  <c r="F70" i="56"/>
  <c r="F72" i="56"/>
  <c r="F74" i="56"/>
  <c r="F77" i="56"/>
  <c r="F80" i="56"/>
  <c r="F82" i="56"/>
  <c r="F85" i="56"/>
  <c r="F87" i="56"/>
  <c r="F89" i="56"/>
  <c r="F90" i="56"/>
  <c r="F96" i="56"/>
  <c r="F113" i="56"/>
  <c r="F115" i="56"/>
  <c r="F120" i="56"/>
  <c r="F126" i="56"/>
  <c r="F132" i="56"/>
  <c r="F148" i="56"/>
  <c r="F158" i="56"/>
  <c r="F160" i="56"/>
  <c r="F163" i="56"/>
  <c r="F169" i="56"/>
  <c r="F174" i="56"/>
  <c r="F182" i="56"/>
  <c r="F187" i="56"/>
  <c r="F192" i="56"/>
  <c r="F195" i="56"/>
  <c r="E47" i="56"/>
  <c r="E40" i="56"/>
  <c r="H331" i="45" l="1"/>
  <c r="I331" i="45" s="1"/>
  <c r="I333" i="45"/>
  <c r="H84" i="47"/>
  <c r="G81" i="47"/>
  <c r="G84" i="47" s="1"/>
  <c r="G208" i="54" l="1"/>
  <c r="H208" i="54"/>
  <c r="I208" i="54" s="1"/>
  <c r="H114" i="47" l="1"/>
  <c r="H109" i="47"/>
  <c r="H104" i="47"/>
  <c r="H93" i="47"/>
  <c r="H71" i="47"/>
  <c r="H67" i="47"/>
  <c r="H64" i="47" a="1"/>
  <c r="H57" i="47"/>
  <c r="H53" i="47"/>
  <c r="H43" i="47"/>
  <c r="H38" i="47"/>
  <c r="H21" i="47"/>
  <c r="H120" i="47" s="1"/>
  <c r="H35" i="34" s="1"/>
  <c r="H20" i="47"/>
  <c r="H17" i="47"/>
  <c r="H72" i="46"/>
  <c r="H69" i="46"/>
  <c r="H65" i="46"/>
  <c r="H46" i="46"/>
  <c r="H42" i="46"/>
  <c r="H16" i="46"/>
  <c r="H13" i="46" s="1"/>
  <c r="H339" i="45"/>
  <c r="H244" i="45"/>
  <c r="H242" i="45"/>
  <c r="H177" i="45"/>
  <c r="I177" i="45" s="1"/>
  <c r="H150" i="45"/>
  <c r="H144" i="45"/>
  <c r="H138" i="45"/>
  <c r="H132" i="45"/>
  <c r="H126" i="45"/>
  <c r="H120" i="45"/>
  <c r="H114" i="45"/>
  <c r="H108" i="45"/>
  <c r="H102" i="45"/>
  <c r="H96" i="45"/>
  <c r="H78" i="45"/>
  <c r="H74" i="45"/>
  <c r="H70" i="45"/>
  <c r="H65" i="45"/>
  <c r="H59" i="45"/>
  <c r="H54" i="45"/>
  <c r="H50" i="45"/>
  <c r="H45" i="45"/>
  <c r="H35" i="45"/>
  <c r="H30" i="45"/>
  <c r="H25" i="45"/>
  <c r="H197" i="56"/>
  <c r="H196" i="56"/>
  <c r="I196" i="56" s="1"/>
  <c r="H194" i="56"/>
  <c r="I194" i="56" s="1"/>
  <c r="H188" i="56"/>
  <c r="I188" i="56" s="1"/>
  <c r="H177" i="56"/>
  <c r="I177" i="56" s="1"/>
  <c r="H165" i="56"/>
  <c r="I165" i="56" s="1"/>
  <c r="H162" i="56"/>
  <c r="H152" i="56"/>
  <c r="H130" i="56"/>
  <c r="H127" i="56"/>
  <c r="I127" i="56" s="1"/>
  <c r="H125" i="56"/>
  <c r="H122" i="56"/>
  <c r="I122" i="56" s="1"/>
  <c r="H119" i="56"/>
  <c r="I119" i="56" s="1"/>
  <c r="H116" i="56"/>
  <c r="I116" i="56" s="1"/>
  <c r="H114" i="56"/>
  <c r="I114" i="56" s="1"/>
  <c r="H106" i="56"/>
  <c r="H91" i="56"/>
  <c r="I91" i="56" s="1"/>
  <c r="H88" i="56"/>
  <c r="I88" i="56" s="1"/>
  <c r="H86" i="56"/>
  <c r="I86" i="56" s="1"/>
  <c r="H84" i="56"/>
  <c r="I84" i="56" s="1"/>
  <c r="H79" i="56"/>
  <c r="I79" i="56" s="1"/>
  <c r="H76" i="56"/>
  <c r="I76" i="56" s="1"/>
  <c r="H73" i="56"/>
  <c r="I73" i="56" s="1"/>
  <c r="H71" i="56"/>
  <c r="I71" i="56" s="1"/>
  <c r="H69" i="56"/>
  <c r="I69" i="56" s="1"/>
  <c r="H66" i="56"/>
  <c r="I66" i="56" s="1"/>
  <c r="H61" i="56"/>
  <c r="I61" i="56" s="1"/>
  <c r="H58" i="56"/>
  <c r="I58" i="56" s="1"/>
  <c r="H56" i="56"/>
  <c r="I56" i="56" s="1"/>
  <c r="H54" i="56"/>
  <c r="I54" i="56" s="1"/>
  <c r="H52" i="56"/>
  <c r="I52" i="56" s="1"/>
  <c r="H50" i="56"/>
  <c r="I50" i="56" s="1"/>
  <c r="H47" i="56"/>
  <c r="H39" i="56"/>
  <c r="H35" i="56"/>
  <c r="H33" i="56"/>
  <c r="I33" i="56" s="1"/>
  <c r="G194" i="45"/>
  <c r="G196" i="45" s="1"/>
  <c r="G162" i="45"/>
  <c r="H70" i="46" l="1"/>
  <c r="I72" i="46"/>
  <c r="I152" i="56"/>
  <c r="H131" i="56"/>
  <c r="H199" i="56"/>
  <c r="I199" i="56" s="1"/>
  <c r="F47" i="56"/>
  <c r="I47" i="56"/>
  <c r="H128" i="56"/>
  <c r="I130" i="56"/>
  <c r="F39" i="56"/>
  <c r="H40" i="56"/>
  <c r="I40" i="56" s="1"/>
  <c r="H95" i="56"/>
  <c r="H23" i="47"/>
  <c r="F188" i="56"/>
  <c r="H116" i="47"/>
  <c r="H131" i="47" s="1"/>
  <c r="H73" i="46"/>
  <c r="I73" i="46" s="1"/>
  <c r="H72" i="47"/>
  <c r="H76" i="47"/>
  <c r="H90" i="47"/>
  <c r="H49" i="47"/>
  <c r="H94" i="47"/>
  <c r="H54" i="47"/>
  <c r="H100" i="47"/>
  <c r="H117" i="47"/>
  <c r="H58" i="47"/>
  <c r="F57" i="47"/>
  <c r="H105" i="47"/>
  <c r="H64" i="47"/>
  <c r="F65" i="47"/>
  <c r="H110" i="47"/>
  <c r="F162" i="45"/>
  <c r="H25" i="46"/>
  <c r="H203" i="56"/>
  <c r="H173" i="56"/>
  <c r="I173" i="56" s="1"/>
  <c r="H181" i="56"/>
  <c r="I181" i="56" s="1"/>
  <c r="F180" i="56"/>
  <c r="H189" i="56"/>
  <c r="I189" i="56" s="1"/>
  <c r="H117" i="56"/>
  <c r="H196" i="45"/>
  <c r="I196" i="45" s="1"/>
  <c r="H163" i="45"/>
  <c r="H18" i="56"/>
  <c r="H79" i="46" l="1"/>
  <c r="I70" i="46"/>
  <c r="H161" i="45"/>
  <c r="I163" i="45"/>
  <c r="H41" i="47"/>
  <c r="H36" i="56"/>
  <c r="H220" i="56"/>
  <c r="H214" i="56"/>
  <c r="H115" i="47"/>
  <c r="H124" i="47" s="1"/>
  <c r="H88" i="47"/>
  <c r="H61" i="47"/>
  <c r="H98" i="47"/>
  <c r="H16" i="47"/>
  <c r="H118" i="47"/>
  <c r="H15" i="45"/>
  <c r="H179" i="56"/>
  <c r="I179" i="56" s="1"/>
  <c r="F40" i="56"/>
  <c r="H198" i="56"/>
  <c r="I79" i="46" l="1"/>
  <c r="K81" i="46"/>
  <c r="H16" i="34"/>
  <c r="H17" i="34"/>
  <c r="H208" i="56"/>
  <c r="N16" i="34" l="1"/>
  <c r="H15" i="34"/>
  <c r="H14" i="34"/>
  <c r="B5" i="51"/>
  <c r="B8" i="51"/>
  <c r="A8" i="51"/>
  <c r="B7" i="51"/>
  <c r="A7" i="51"/>
  <c r="B6" i="51"/>
  <c r="A6" i="51"/>
  <c r="A5" i="51"/>
  <c r="B4" i="51"/>
  <c r="A4" i="51"/>
  <c r="B5" i="50"/>
  <c r="A5" i="50"/>
  <c r="B4" i="50"/>
  <c r="A4" i="50"/>
  <c r="B7" i="49"/>
  <c r="A7" i="49"/>
  <c r="B6" i="49"/>
  <c r="A6" i="49"/>
  <c r="B5" i="49"/>
  <c r="A5" i="49"/>
  <c r="B4" i="49"/>
  <c r="A4" i="49"/>
  <c r="B9" i="48"/>
  <c r="A9" i="48"/>
  <c r="B8" i="48"/>
  <c r="A8" i="48"/>
  <c r="B7" i="48"/>
  <c r="A7" i="48"/>
  <c r="B6" i="48"/>
  <c r="A6" i="48"/>
  <c r="B5" i="48"/>
  <c r="A5" i="48"/>
  <c r="B8" i="47"/>
  <c r="A8" i="47"/>
  <c r="B7" i="47"/>
  <c r="A7" i="47"/>
  <c r="B6" i="47"/>
  <c r="A6" i="47"/>
  <c r="B5" i="47"/>
  <c r="A5" i="47"/>
  <c r="B4" i="47"/>
  <c r="A4" i="47"/>
  <c r="B5" i="46"/>
  <c r="A5" i="46"/>
  <c r="B4" i="46"/>
  <c r="A4" i="46"/>
  <c r="E199" i="54"/>
  <c r="F199" i="54" s="1"/>
  <c r="E192" i="54"/>
  <c r="G167" i="54"/>
  <c r="B15" i="54"/>
  <c r="A15" i="54"/>
  <c r="B14" i="54"/>
  <c r="A14" i="54"/>
  <c r="B13" i="54"/>
  <c r="A13" i="54"/>
  <c r="B12" i="54"/>
  <c r="A12" i="54"/>
  <c r="B11" i="54"/>
  <c r="A11" i="54"/>
  <c r="B10" i="54"/>
  <c r="A10" i="54"/>
  <c r="B9" i="54"/>
  <c r="A9" i="54"/>
  <c r="B8" i="54"/>
  <c r="A8" i="54"/>
  <c r="B7" i="54"/>
  <c r="A7" i="54"/>
  <c r="B6" i="54"/>
  <c r="A6" i="54"/>
  <c r="B5" i="54"/>
  <c r="A5" i="54"/>
  <c r="B4" i="54"/>
  <c r="B7" i="45"/>
  <c r="A7" i="45"/>
  <c r="B6" i="45"/>
  <c r="A6" i="45"/>
  <c r="B5" i="45"/>
  <c r="A5" i="45"/>
  <c r="B4" i="45"/>
  <c r="A4" i="45"/>
  <c r="A4" i="56"/>
  <c r="B4" i="56"/>
  <c r="B10" i="56"/>
  <c r="A10" i="56"/>
  <c r="B9" i="56"/>
  <c r="A9" i="56"/>
  <c r="B8" i="56"/>
  <c r="A8" i="56"/>
  <c r="B7" i="56"/>
  <c r="A7" i="56"/>
  <c r="B6" i="56"/>
  <c r="A6" i="56"/>
  <c r="B5" i="56"/>
  <c r="A5" i="56"/>
  <c r="B3" i="56"/>
  <c r="A3" i="56"/>
  <c r="F119" i="50"/>
  <c r="F118" i="50"/>
  <c r="G118" i="50"/>
  <c r="H118" i="50"/>
  <c r="K118" i="50"/>
  <c r="L118" i="50"/>
  <c r="F115" i="50"/>
  <c r="G115" i="50"/>
  <c r="H115" i="50"/>
  <c r="K165" i="50"/>
  <c r="K166" i="50" s="1"/>
  <c r="K177" i="50" s="1"/>
  <c r="K179" i="50" s="1"/>
  <c r="L165" i="50"/>
  <c r="L166" i="50" s="1"/>
  <c r="F61" i="50"/>
  <c r="G61" i="50"/>
  <c r="H61" i="50"/>
  <c r="H167" i="50" s="1"/>
  <c r="F40" i="50"/>
  <c r="G40" i="50"/>
  <c r="H40" i="50"/>
  <c r="I40" i="50" s="1"/>
  <c r="F38" i="50"/>
  <c r="G38" i="50"/>
  <c r="H38" i="50"/>
  <c r="I38" i="50" s="1"/>
  <c r="F36" i="50"/>
  <c r="G36" i="50"/>
  <c r="H36" i="50"/>
  <c r="K36" i="50"/>
  <c r="L36" i="50"/>
  <c r="G29" i="50"/>
  <c r="H29" i="50"/>
  <c r="K29" i="50"/>
  <c r="L29" i="50"/>
  <c r="F26" i="50"/>
  <c r="G26" i="50"/>
  <c r="H26" i="50"/>
  <c r="K26" i="50"/>
  <c r="L26" i="50"/>
  <c r="F23" i="50"/>
  <c r="G23" i="50"/>
  <c r="H23" i="50"/>
  <c r="G15" i="50"/>
  <c r="E16" i="49"/>
  <c r="G16" i="49"/>
  <c r="E17" i="49"/>
  <c r="G17" i="49"/>
  <c r="E19" i="49"/>
  <c r="G19" i="49"/>
  <c r="H19" i="49"/>
  <c r="E20" i="49"/>
  <c r="G20" i="49"/>
  <c r="H20" i="49"/>
  <c r="K20" i="49"/>
  <c r="K21" i="49" s="1"/>
  <c r="E16" i="46"/>
  <c r="E13" i="46" s="1"/>
  <c r="F13" i="46" s="1"/>
  <c r="F16" i="46"/>
  <c r="G16" i="46"/>
  <c r="G13" i="46" s="1"/>
  <c r="K16" i="46"/>
  <c r="L16" i="46"/>
  <c r="L13" i="46" s="1"/>
  <c r="E28" i="46"/>
  <c r="F28" i="46" s="1"/>
  <c r="G28" i="46"/>
  <c r="E40" i="46"/>
  <c r="E42" i="46"/>
  <c r="F42" i="46" s="1"/>
  <c r="G42" i="46"/>
  <c r="K42" i="46"/>
  <c r="I42" i="46" s="1"/>
  <c r="L42" i="46"/>
  <c r="E46" i="46"/>
  <c r="F46" i="46" s="1"/>
  <c r="G46" i="46"/>
  <c r="K46" i="46"/>
  <c r="L46" i="46"/>
  <c r="G331" i="45"/>
  <c r="G310" i="45"/>
  <c r="G352" i="45" s="1"/>
  <c r="G274" i="45"/>
  <c r="G244" i="45"/>
  <c r="K244" i="45"/>
  <c r="L244" i="45"/>
  <c r="L161" i="45" s="1"/>
  <c r="G242" i="45"/>
  <c r="K242" i="45"/>
  <c r="G227" i="45"/>
  <c r="G163" i="45"/>
  <c r="G177" i="45"/>
  <c r="E16" i="45"/>
  <c r="F16" i="45" s="1"/>
  <c r="G16" i="45"/>
  <c r="G17" i="45"/>
  <c r="E19" i="45"/>
  <c r="F19" i="45" s="1"/>
  <c r="G19" i="45"/>
  <c r="E23" i="45"/>
  <c r="G47" i="56"/>
  <c r="L177" i="50" l="1"/>
  <c r="L20" i="34"/>
  <c r="X14" i="34" s="1"/>
  <c r="I19" i="49"/>
  <c r="H21" i="49"/>
  <c r="I21" i="49"/>
  <c r="G21" i="49"/>
  <c r="F16" i="49"/>
  <c r="E21" i="49"/>
  <c r="E15" i="49" s="1"/>
  <c r="K15" i="49"/>
  <c r="I242" i="45"/>
  <c r="K161" i="45"/>
  <c r="I161" i="45" s="1"/>
  <c r="BA25" i="60"/>
  <c r="M168" i="50"/>
  <c r="L340" i="45"/>
  <c r="L351" i="45" s="1"/>
  <c r="L358" i="45" s="1"/>
  <c r="L21" i="45"/>
  <c r="L15" i="45" s="1"/>
  <c r="K340" i="45"/>
  <c r="K351" i="45" s="1"/>
  <c r="K21" i="45"/>
  <c r="I29" i="50"/>
  <c r="AZ25" i="60"/>
  <c r="I165" i="50"/>
  <c r="K88" i="50"/>
  <c r="H88" i="50"/>
  <c r="K13" i="46"/>
  <c r="I13" i="46" s="1"/>
  <c r="I16" i="46"/>
  <c r="L88" i="50"/>
  <c r="H279" i="49"/>
  <c r="L15" i="49"/>
  <c r="N14" i="34"/>
  <c r="N15" i="34"/>
  <c r="F19" i="49"/>
  <c r="F17" i="49"/>
  <c r="F88" i="50"/>
  <c r="G15" i="49"/>
  <c r="G21" i="45"/>
  <c r="E19" i="56"/>
  <c r="F19" i="56" s="1"/>
  <c r="G20" i="56"/>
  <c r="E30" i="56"/>
  <c r="F30" i="56" s="1"/>
  <c r="E203" i="56"/>
  <c r="F203" i="56" s="1"/>
  <c r="F200" i="56"/>
  <c r="L197" i="56"/>
  <c r="K197" i="56"/>
  <c r="G197" i="56"/>
  <c r="F197" i="56"/>
  <c r="G196" i="56"/>
  <c r="E196" i="56"/>
  <c r="F196" i="56" s="1"/>
  <c r="G194" i="56"/>
  <c r="E194" i="56"/>
  <c r="F194" i="56" s="1"/>
  <c r="E189" i="56"/>
  <c r="F189" i="56" s="1"/>
  <c r="G188" i="56"/>
  <c r="G189" i="56" s="1"/>
  <c r="E181" i="56"/>
  <c r="F181" i="56" s="1"/>
  <c r="G180" i="56"/>
  <c r="G181" i="56" s="1"/>
  <c r="G177" i="56"/>
  <c r="G173" i="56" s="1"/>
  <c r="E177" i="56"/>
  <c r="G172" i="56"/>
  <c r="E172" i="56"/>
  <c r="F172" i="56" s="1"/>
  <c r="G165" i="56"/>
  <c r="E165" i="56"/>
  <c r="F165" i="56" s="1"/>
  <c r="L162" i="56"/>
  <c r="K162" i="56"/>
  <c r="G162" i="56"/>
  <c r="E162" i="56"/>
  <c r="F162" i="56" s="1"/>
  <c r="G159" i="56"/>
  <c r="E159" i="56"/>
  <c r="F159" i="56" s="1"/>
  <c r="G152" i="56"/>
  <c r="E152" i="56"/>
  <c r="F152" i="56" s="1"/>
  <c r="G135" i="56"/>
  <c r="E135" i="56"/>
  <c r="F135" i="56" s="1"/>
  <c r="L128" i="56"/>
  <c r="K128" i="56"/>
  <c r="I128" i="56" s="1"/>
  <c r="G130" i="56"/>
  <c r="G128" i="56" s="1"/>
  <c r="E130" i="56"/>
  <c r="G127" i="56"/>
  <c r="E127" i="56"/>
  <c r="F127" i="56" s="1"/>
  <c r="L125" i="56"/>
  <c r="I125" i="56"/>
  <c r="G125" i="56"/>
  <c r="E125" i="56"/>
  <c r="F125" i="56" s="1"/>
  <c r="L122" i="56"/>
  <c r="G122" i="56"/>
  <c r="E122" i="56"/>
  <c r="F122" i="56" s="1"/>
  <c r="C122" i="56"/>
  <c r="B122" i="56"/>
  <c r="G119" i="56"/>
  <c r="E119" i="56"/>
  <c r="F119" i="56" s="1"/>
  <c r="G116" i="56"/>
  <c r="E116" i="56"/>
  <c r="F116" i="56" s="1"/>
  <c r="G114" i="56"/>
  <c r="E114" i="56"/>
  <c r="F114" i="56" s="1"/>
  <c r="L106" i="56"/>
  <c r="L95" i="56" s="1"/>
  <c r="K106" i="56"/>
  <c r="K95" i="56" s="1"/>
  <c r="I95" i="56" s="1"/>
  <c r="E106" i="56"/>
  <c r="G98" i="56"/>
  <c r="E98" i="56"/>
  <c r="F98" i="56" s="1"/>
  <c r="G91" i="56"/>
  <c r="E91" i="56"/>
  <c r="F91" i="56" s="1"/>
  <c r="G88" i="56"/>
  <c r="E88" i="56"/>
  <c r="F88" i="56" s="1"/>
  <c r="G86" i="56"/>
  <c r="E86" i="56"/>
  <c r="F86" i="56" s="1"/>
  <c r="G84" i="56"/>
  <c r="E84" i="56"/>
  <c r="F84" i="56" s="1"/>
  <c r="G81" i="56"/>
  <c r="E81" i="56"/>
  <c r="F81" i="56" s="1"/>
  <c r="K36" i="56"/>
  <c r="I36" i="56" s="1"/>
  <c r="G79" i="56"/>
  <c r="E79" i="56"/>
  <c r="F79" i="56" s="1"/>
  <c r="G76" i="56"/>
  <c r="E76" i="56"/>
  <c r="F76" i="56" s="1"/>
  <c r="G73" i="56"/>
  <c r="E73" i="56"/>
  <c r="F73" i="56" s="1"/>
  <c r="G71" i="56"/>
  <c r="E71" i="56"/>
  <c r="F71" i="56" s="1"/>
  <c r="G69" i="56"/>
  <c r="E69" i="56"/>
  <c r="F69" i="56" s="1"/>
  <c r="G66" i="56"/>
  <c r="E66" i="56"/>
  <c r="F66" i="56" s="1"/>
  <c r="G61" i="56"/>
  <c r="E61" i="56"/>
  <c r="F61" i="56" s="1"/>
  <c r="G58" i="56"/>
  <c r="E58" i="56"/>
  <c r="F58" i="56" s="1"/>
  <c r="G56" i="56"/>
  <c r="E56" i="56"/>
  <c r="F56" i="56" s="1"/>
  <c r="G54" i="56"/>
  <c r="E54" i="56"/>
  <c r="F54" i="56" s="1"/>
  <c r="G52" i="56"/>
  <c r="E52" i="56"/>
  <c r="F52" i="56" s="1"/>
  <c r="G50" i="56"/>
  <c r="E50" i="56"/>
  <c r="G39" i="56"/>
  <c r="G38" i="56"/>
  <c r="G37" i="56"/>
  <c r="G200" i="56" s="1"/>
  <c r="L35" i="56"/>
  <c r="L18" i="56" s="1"/>
  <c r="K35" i="56"/>
  <c r="G35" i="56"/>
  <c r="E35" i="56"/>
  <c r="F35" i="56" s="1"/>
  <c r="G33" i="56"/>
  <c r="E33" i="56"/>
  <c r="F33" i="56" s="1"/>
  <c r="G31" i="56"/>
  <c r="AZ10" i="60" l="1"/>
  <c r="K358" i="45"/>
  <c r="F21" i="49"/>
  <c r="H277" i="49"/>
  <c r="I277" i="49" s="1"/>
  <c r="I279" i="49"/>
  <c r="K168" i="50"/>
  <c r="L168" i="50"/>
  <c r="BA10" i="60"/>
  <c r="K15" i="45"/>
  <c r="I21" i="45"/>
  <c r="I340" i="45"/>
  <c r="L117" i="56"/>
  <c r="I166" i="50"/>
  <c r="K20" i="34"/>
  <c r="K117" i="56"/>
  <c r="I117" i="56" s="1"/>
  <c r="K18" i="56"/>
  <c r="I35" i="56"/>
  <c r="L36" i="56"/>
  <c r="F50" i="56"/>
  <c r="E36" i="56"/>
  <c r="F36" i="56" s="1"/>
  <c r="H15" i="49"/>
  <c r="F15" i="49" s="1"/>
  <c r="G179" i="56"/>
  <c r="G203" i="56"/>
  <c r="E128" i="56"/>
  <c r="F128" i="56" s="1"/>
  <c r="F130" i="56"/>
  <c r="E23" i="56"/>
  <c r="F23" i="56" s="1"/>
  <c r="E173" i="56"/>
  <c r="F173" i="56" s="1"/>
  <c r="F177" i="56"/>
  <c r="E131" i="56"/>
  <c r="F131" i="56" s="1"/>
  <c r="G199" i="56"/>
  <c r="G131" i="56"/>
  <c r="K131" i="56"/>
  <c r="I131" i="56" s="1"/>
  <c r="L131" i="56"/>
  <c r="G117" i="56"/>
  <c r="G95" i="56"/>
  <c r="G23" i="56"/>
  <c r="G18" i="56" s="1"/>
  <c r="E31" i="56"/>
  <c r="E179" i="56"/>
  <c r="F179" i="56" s="1"/>
  <c r="E117" i="56"/>
  <c r="F117" i="56" s="1"/>
  <c r="E95" i="56"/>
  <c r="F95" i="56" s="1"/>
  <c r="E199" i="56"/>
  <c r="F199" i="56" s="1"/>
  <c r="G40" i="56"/>
  <c r="G36" i="56" s="1"/>
  <c r="G72" i="46"/>
  <c r="G71" i="46"/>
  <c r="L339" i="45"/>
  <c r="K339" i="45"/>
  <c r="G339" i="45"/>
  <c r="L353" i="45" l="1"/>
  <c r="L15" i="34"/>
  <c r="S14" i="34" s="1"/>
  <c r="I15" i="49"/>
  <c r="I351" i="45"/>
  <c r="K353" i="45"/>
  <c r="I353" i="45" s="1"/>
  <c r="X13" i="34"/>
  <c r="I20" i="34"/>
  <c r="I203" i="56"/>
  <c r="I198" i="56"/>
  <c r="G198" i="56"/>
  <c r="G208" i="56" s="1"/>
  <c r="E198" i="56"/>
  <c r="F198" i="56" s="1"/>
  <c r="E18" i="56"/>
  <c r="F18" i="56" s="1"/>
  <c r="F31" i="56"/>
  <c r="G70" i="46"/>
  <c r="G79" i="46" s="1"/>
  <c r="J81" i="46" s="1"/>
  <c r="L14" i="34" l="1"/>
  <c r="M210" i="56"/>
  <c r="BA7" i="60"/>
  <c r="E208" i="56"/>
  <c r="H210" i="56" s="1"/>
  <c r="G347" i="45"/>
  <c r="AZ7" i="60" l="1"/>
  <c r="K14" i="34"/>
  <c r="L210" i="56"/>
  <c r="I208" i="56"/>
  <c r="K210" i="56"/>
  <c r="R14" i="34"/>
  <c r="F208" i="56"/>
  <c r="L114" i="47"/>
  <c r="K114" i="47"/>
  <c r="G114" i="47"/>
  <c r="L110" i="47"/>
  <c r="K110" i="47"/>
  <c r="G109" i="47"/>
  <c r="G110" i="47" s="1"/>
  <c r="E109" i="47"/>
  <c r="L105" i="47"/>
  <c r="K105" i="47"/>
  <c r="G104" i="47"/>
  <c r="G105" i="47" s="1"/>
  <c r="E104" i="47"/>
  <c r="F104" i="47" s="1"/>
  <c r="G99" i="47"/>
  <c r="G100" i="47" s="1"/>
  <c r="E99" i="47"/>
  <c r="K94" i="47"/>
  <c r="G93" i="47"/>
  <c r="G94" i="47" s="1"/>
  <c r="E93" i="47"/>
  <c r="L88" i="47"/>
  <c r="K90" i="47"/>
  <c r="G89" i="47"/>
  <c r="G90" i="47" s="1"/>
  <c r="E89" i="47"/>
  <c r="G75" i="47"/>
  <c r="E75" i="47"/>
  <c r="L72" i="47"/>
  <c r="K71" i="47"/>
  <c r="K72" i="47" s="1"/>
  <c r="G71" i="47"/>
  <c r="E71" i="47"/>
  <c r="F68" i="47"/>
  <c r="G66" i="47"/>
  <c r="G67" i="47" s="1"/>
  <c r="E66" i="47"/>
  <c r="G64" i="47" a="1"/>
  <c r="G64" i="47" s="1"/>
  <c r="E62" i="47"/>
  <c r="F62" i="47" s="1"/>
  <c r="E58" i="47"/>
  <c r="F58" i="47" s="1"/>
  <c r="G57" i="47"/>
  <c r="G58" i="47" s="1"/>
  <c r="L53" i="47"/>
  <c r="L116" i="47" s="1"/>
  <c r="K53" i="47"/>
  <c r="G53" i="47"/>
  <c r="G54" i="47" s="1"/>
  <c r="E53" i="47"/>
  <c r="G48" i="47"/>
  <c r="G49" i="47" s="1"/>
  <c r="E48" i="47"/>
  <c r="L43" i="47"/>
  <c r="K43" i="47"/>
  <c r="G42" i="47"/>
  <c r="E42" i="47"/>
  <c r="G38" i="47"/>
  <c r="E38" i="47"/>
  <c r="F38" i="47" s="1"/>
  <c r="G36" i="47"/>
  <c r="E36" i="47"/>
  <c r="F36" i="47" s="1"/>
  <c r="G29" i="47"/>
  <c r="E29" i="47"/>
  <c r="F29" i="47" s="1"/>
  <c r="L123" i="47"/>
  <c r="L38" i="34" s="1"/>
  <c r="K123" i="47"/>
  <c r="K38" i="34" s="1"/>
  <c r="I38" i="34" s="1"/>
  <c r="G22" i="47"/>
  <c r="E22" i="47"/>
  <c r="L120" i="47"/>
  <c r="L35" i="34" s="1"/>
  <c r="K120" i="47"/>
  <c r="K35" i="34" s="1"/>
  <c r="I35" i="34" s="1"/>
  <c r="G21" i="47"/>
  <c r="G120" i="47" s="1"/>
  <c r="E21" i="47"/>
  <c r="G20" i="47"/>
  <c r="G117" i="47" s="1"/>
  <c r="E20" i="47"/>
  <c r="G18" i="47"/>
  <c r="G119" i="47" s="1"/>
  <c r="E18" i="47"/>
  <c r="G17" i="47"/>
  <c r="E17" i="47"/>
  <c r="K116" i="47" l="1"/>
  <c r="K115" i="47" s="1"/>
  <c r="K124" i="47" s="1"/>
  <c r="K135" i="47" s="1"/>
  <c r="I14" i="34"/>
  <c r="R13" i="34"/>
  <c r="B16" i="60"/>
  <c r="C16" i="60"/>
  <c r="L115" i="47"/>
  <c r="L124" i="47" s="1"/>
  <c r="K88" i="47"/>
  <c r="K61" i="47"/>
  <c r="L54" i="47"/>
  <c r="L41" i="47" s="1"/>
  <c r="K54" i="47"/>
  <c r="K41" i="47" s="1"/>
  <c r="E119" i="47"/>
  <c r="F119" i="47" s="1"/>
  <c r="F18" i="47"/>
  <c r="E49" i="47"/>
  <c r="F49" i="47" s="1"/>
  <c r="F48" i="47"/>
  <c r="E67" i="47"/>
  <c r="F67" i="47" s="1"/>
  <c r="F66" i="47"/>
  <c r="E76" i="47"/>
  <c r="F76" i="47" s="1"/>
  <c r="F75" i="47"/>
  <c r="E94" i="47"/>
  <c r="F94" i="47" s="1"/>
  <c r="F93" i="47"/>
  <c r="E23" i="47"/>
  <c r="F23" i="47" s="1"/>
  <c r="F17" i="47"/>
  <c r="E43" i="47"/>
  <c r="F43" i="47" s="1"/>
  <c r="F42" i="47"/>
  <c r="E54" i="47"/>
  <c r="F54" i="47" s="1"/>
  <c r="F53" i="47"/>
  <c r="E117" i="47"/>
  <c r="F117" i="47" s="1"/>
  <c r="F20" i="47"/>
  <c r="E72" i="47"/>
  <c r="F72" i="47" s="1"/>
  <c r="F71" i="47"/>
  <c r="E90" i="47"/>
  <c r="F90" i="47" s="1"/>
  <c r="F89" i="47"/>
  <c r="E100" i="47"/>
  <c r="F100" i="47" s="1"/>
  <c r="F99" i="47"/>
  <c r="E110" i="47"/>
  <c r="F110" i="47" s="1"/>
  <c r="F109" i="47"/>
  <c r="G23" i="47"/>
  <c r="G16" i="47" s="1"/>
  <c r="L16" i="47"/>
  <c r="K16" i="47"/>
  <c r="G88" i="47"/>
  <c r="K98" i="47"/>
  <c r="G98" i="47"/>
  <c r="L98" i="47"/>
  <c r="L61" i="47"/>
  <c r="E64" i="47"/>
  <c r="F64" i="47" s="1"/>
  <c r="G72" i="47"/>
  <c r="G116" i="47"/>
  <c r="G115" i="47" s="1"/>
  <c r="E116" i="47"/>
  <c r="E105" i="47"/>
  <c r="F105" i="47" s="1"/>
  <c r="G76" i="47"/>
  <c r="G43" i="47"/>
  <c r="K129" i="47" l="1"/>
  <c r="L17" i="34"/>
  <c r="L135" i="47"/>
  <c r="AW16" i="60"/>
  <c r="AZ16" i="60" s="1"/>
  <c r="B18" i="60"/>
  <c r="AX16" i="60"/>
  <c r="BA16" i="60" s="1"/>
  <c r="C18" i="60"/>
  <c r="L126" i="47"/>
  <c r="M126" i="47"/>
  <c r="K126" i="47"/>
  <c r="N17" i="34"/>
  <c r="E16" i="47"/>
  <c r="F16" i="47" s="1"/>
  <c r="E41" i="47"/>
  <c r="F41" i="47" s="1"/>
  <c r="E88" i="47"/>
  <c r="F88" i="47" s="1"/>
  <c r="E115" i="47"/>
  <c r="F116" i="47"/>
  <c r="E98" i="47"/>
  <c r="F98" i="47" s="1"/>
  <c r="E61" i="47"/>
  <c r="F61" i="47" s="1"/>
  <c r="G61" i="47"/>
  <c r="G41" i="47"/>
  <c r="G124" i="47"/>
  <c r="K17" i="34" l="1"/>
  <c r="U13" i="34" s="1"/>
  <c r="E124" i="47"/>
  <c r="F115" i="47"/>
  <c r="G50" i="45"/>
  <c r="I17" i="34" l="1"/>
  <c r="U14" i="34"/>
  <c r="F124" i="47"/>
  <c r="G81" i="45"/>
  <c r="G79" i="45"/>
  <c r="G161" i="45"/>
  <c r="G84" i="45" l="1"/>
  <c r="G15" i="45" s="1"/>
  <c r="G342" i="45"/>
  <c r="G346" i="45"/>
  <c r="G341" i="45"/>
  <c r="G78" i="45" l="1"/>
  <c r="G150" i="45" l="1"/>
  <c r="K150" i="45"/>
  <c r="L150" i="45"/>
  <c r="G74" i="45"/>
  <c r="G144" i="45"/>
  <c r="G70" i="45"/>
  <c r="G65" i="45"/>
  <c r="G132" i="45"/>
  <c r="G138" i="45"/>
  <c r="G59" i="45"/>
  <c r="G126" i="45" l="1"/>
  <c r="G54" i="45"/>
  <c r="G120" i="45"/>
  <c r="G114" i="45" l="1"/>
  <c r="G45" i="45"/>
  <c r="K45" i="45"/>
  <c r="L45" i="45"/>
  <c r="G108" i="45" l="1"/>
  <c r="G102" i="45" l="1"/>
  <c r="G35" i="45"/>
  <c r="G96" i="45" l="1"/>
  <c r="G30" i="45"/>
  <c r="G25" i="45" l="1"/>
  <c r="F45" i="50" l="1"/>
  <c r="F17" i="50"/>
  <c r="G17" i="50"/>
  <c r="H17" i="50"/>
  <c r="K17" i="50"/>
  <c r="L17" i="50"/>
  <c r="G21" i="50"/>
  <c r="H21" i="50"/>
  <c r="I21" i="50" s="1"/>
  <c r="K12" i="50" l="1"/>
  <c r="L12" i="50"/>
  <c r="H12" i="50"/>
  <c r="G111" i="51"/>
  <c r="E111" i="51"/>
  <c r="I12" i="50" l="1"/>
  <c r="G62" i="49"/>
  <c r="G282" i="49" l="1"/>
  <c r="H282" i="49"/>
  <c r="I282" i="49" s="1"/>
  <c r="G151" i="49"/>
  <c r="H151" i="49"/>
  <c r="I151" i="49" s="1"/>
  <c r="F136" i="49"/>
  <c r="G136" i="49"/>
  <c r="H136" i="49"/>
  <c r="I136" i="49" s="1"/>
  <c r="G130" i="49"/>
  <c r="H130" i="49"/>
  <c r="I130" i="49" s="1"/>
  <c r="F126" i="49"/>
  <c r="G126" i="49"/>
  <c r="F120" i="49"/>
  <c r="G120" i="49"/>
  <c r="H120" i="49"/>
  <c r="I120" i="49" s="1"/>
  <c r="G116" i="49"/>
  <c r="H116" i="49"/>
  <c r="I116" i="49" s="1"/>
  <c r="F46" i="49"/>
  <c r="G46" i="49"/>
  <c r="H46" i="49"/>
  <c r="L29" i="34" l="1"/>
  <c r="G175" i="49"/>
  <c r="H174" i="49"/>
  <c r="I174" i="49" s="1"/>
  <c r="G174" i="49"/>
  <c r="L275" i="49" l="1"/>
  <c r="L285" i="49" s="1"/>
  <c r="L297" i="49" s="1"/>
  <c r="L298" i="49" s="1"/>
  <c r="H280" i="49"/>
  <c r="G177" i="49"/>
  <c r="H177" i="49"/>
  <c r="I177" i="49" s="1"/>
  <c r="BA22" i="60" l="1"/>
  <c r="L19" i="34"/>
  <c r="W14" i="34" s="1"/>
  <c r="H34" i="34"/>
  <c r="I34" i="34" s="1"/>
  <c r="I280" i="49"/>
  <c r="M287" i="49"/>
  <c r="H275" i="49"/>
  <c r="I275" i="49" s="1"/>
  <c r="H292" i="49"/>
  <c r="F112" i="49"/>
  <c r="G114" i="49"/>
  <c r="H114" i="49"/>
  <c r="K114" i="49"/>
  <c r="L114" i="49"/>
  <c r="G59" i="49"/>
  <c r="H59" i="49"/>
  <c r="I59" i="49" s="1"/>
  <c r="L34" i="49"/>
  <c r="F40" i="49"/>
  <c r="G32" i="49"/>
  <c r="H32" i="49"/>
  <c r="L32" i="49"/>
  <c r="G277" i="49"/>
  <c r="G280" i="49"/>
  <c r="G276" i="49"/>
  <c r="G27" i="49"/>
  <c r="H27" i="49"/>
  <c r="K27" i="49"/>
  <c r="L27" i="49"/>
  <c r="I114" i="49" l="1"/>
  <c r="H285" i="49"/>
  <c r="G275" i="49"/>
  <c r="G285" i="49" s="1"/>
  <c r="G221" i="49"/>
  <c r="H221" i="49"/>
  <c r="I221" i="49" s="1"/>
  <c r="F211" i="49"/>
  <c r="G211" i="49"/>
  <c r="H211" i="49"/>
  <c r="I211" i="49" s="1"/>
  <c r="G206" i="49"/>
  <c r="H206" i="49"/>
  <c r="I206" i="49" s="1"/>
  <c r="G192" i="49"/>
  <c r="G188" i="49"/>
  <c r="G184" i="49"/>
  <c r="H184" i="49"/>
  <c r="K184" i="49"/>
  <c r="F164" i="49"/>
  <c r="G164" i="49"/>
  <c r="F159" i="49"/>
  <c r="G159" i="49"/>
  <c r="H159" i="49"/>
  <c r="I159" i="49" s="1"/>
  <c r="F155" i="49"/>
  <c r="G155" i="49"/>
  <c r="H155" i="49"/>
  <c r="I155" i="49" s="1"/>
  <c r="G147" i="49"/>
  <c r="H147" i="49"/>
  <c r="I147" i="49" s="1"/>
  <c r="F145" i="49"/>
  <c r="G145" i="49"/>
  <c r="H145" i="49"/>
  <c r="K145" i="49"/>
  <c r="L145" i="49"/>
  <c r="F138" i="49"/>
  <c r="G138" i="49"/>
  <c r="H138" i="49"/>
  <c r="K138" i="49"/>
  <c r="L138" i="49"/>
  <c r="G143" i="49"/>
  <c r="F109" i="49"/>
  <c r="G109" i="49"/>
  <c r="H109" i="49"/>
  <c r="I109" i="49" s="1"/>
  <c r="G106" i="49"/>
  <c r="H106" i="49"/>
  <c r="I106" i="49" s="1"/>
  <c r="F103" i="49"/>
  <c r="G103" i="49"/>
  <c r="H103" i="49"/>
  <c r="I103" i="49" s="1"/>
  <c r="G99" i="49"/>
  <c r="H99" i="49"/>
  <c r="I99" i="49" s="1"/>
  <c r="G94" i="49"/>
  <c r="H94" i="49"/>
  <c r="I94" i="49" s="1"/>
  <c r="H44" i="49"/>
  <c r="G44" i="49"/>
  <c r="G40" i="49"/>
  <c r="H40" i="49"/>
  <c r="I40" i="49" s="1"/>
  <c r="G37" i="49"/>
  <c r="H37" i="49"/>
  <c r="I37" i="49" s="1"/>
  <c r="I138" i="49" l="1"/>
  <c r="I184" i="49"/>
  <c r="F44" i="49"/>
  <c r="I44" i="49"/>
  <c r="L156" i="49"/>
  <c r="J287" i="49"/>
  <c r="K34" i="49"/>
  <c r="H286" i="49"/>
  <c r="H34" i="49"/>
  <c r="H156" i="49"/>
  <c r="H19" i="34"/>
  <c r="G34" i="49"/>
  <c r="G156" i="49"/>
  <c r="L155" i="50"/>
  <c r="H155" i="50"/>
  <c r="G155" i="50"/>
  <c r="L121" i="50"/>
  <c r="L119" i="50" s="1"/>
  <c r="K121" i="50"/>
  <c r="K119" i="50" s="1"/>
  <c r="H121" i="50"/>
  <c r="H119" i="50" s="1"/>
  <c r="G121" i="50"/>
  <c r="G119" i="50" s="1"/>
  <c r="E121" i="50"/>
  <c r="E119" i="50" s="1"/>
  <c r="E118" i="50"/>
  <c r="E115" i="50"/>
  <c r="G88" i="50"/>
  <c r="E61" i="50"/>
  <c r="E45" i="50"/>
  <c r="E40" i="50"/>
  <c r="E38" i="50"/>
  <c r="E36" i="50"/>
  <c r="E28" i="50"/>
  <c r="E27" i="50"/>
  <c r="F27" i="50" s="1"/>
  <c r="E26" i="50"/>
  <c r="E23" i="50"/>
  <c r="E21" i="50"/>
  <c r="F21" i="50" s="1"/>
  <c r="E17" i="50"/>
  <c r="E15" i="50"/>
  <c r="F15" i="50" s="1"/>
  <c r="E282" i="49"/>
  <c r="F282" i="49" s="1"/>
  <c r="F281" i="49"/>
  <c r="L274" i="49"/>
  <c r="K274" i="49"/>
  <c r="H274" i="49"/>
  <c r="G274" i="49"/>
  <c r="E232" i="49"/>
  <c r="F232" i="49" s="1"/>
  <c r="E225" i="49"/>
  <c r="E221" i="49"/>
  <c r="F221" i="49" s="1"/>
  <c r="E211" i="49"/>
  <c r="E206" i="49"/>
  <c r="F206" i="49" s="1"/>
  <c r="E200" i="49"/>
  <c r="E190" i="49"/>
  <c r="F190" i="49" s="1"/>
  <c r="E189" i="49"/>
  <c r="F189" i="49" s="1"/>
  <c r="E188" i="49"/>
  <c r="F188" i="49" s="1"/>
  <c r="E184" i="49"/>
  <c r="F184" i="49" s="1"/>
  <c r="C184" i="49"/>
  <c r="C177" i="49"/>
  <c r="B177" i="49"/>
  <c r="E175" i="49"/>
  <c r="F175" i="49" s="1"/>
  <c r="E174" i="49"/>
  <c r="F174" i="49" s="1"/>
  <c r="E164" i="49"/>
  <c r="C164" i="49"/>
  <c r="B164" i="49"/>
  <c r="E159" i="49"/>
  <c r="C159" i="49"/>
  <c r="B159" i="49"/>
  <c r="E155" i="49"/>
  <c r="E151" i="49"/>
  <c r="F151" i="49" s="1"/>
  <c r="E147" i="49"/>
  <c r="F147" i="49" s="1"/>
  <c r="E145" i="49"/>
  <c r="E143" i="49"/>
  <c r="F143" i="49" s="1"/>
  <c r="E138" i="49"/>
  <c r="E136" i="49"/>
  <c r="E130" i="49"/>
  <c r="F130" i="49" s="1"/>
  <c r="E126" i="49"/>
  <c r="E120" i="49"/>
  <c r="L118" i="49"/>
  <c r="L95" i="49" s="1"/>
  <c r="K118" i="49"/>
  <c r="H118" i="49"/>
  <c r="H95" i="49" s="1"/>
  <c r="G118" i="49"/>
  <c r="G95" i="49" s="1"/>
  <c r="E118" i="49"/>
  <c r="E116" i="49"/>
  <c r="F116" i="49" s="1"/>
  <c r="E114" i="49"/>
  <c r="F114" i="49" s="1"/>
  <c r="E109" i="49"/>
  <c r="E106" i="49"/>
  <c r="F106" i="49" s="1"/>
  <c r="E103" i="49"/>
  <c r="E99" i="49"/>
  <c r="F99" i="49" s="1"/>
  <c r="E94" i="49"/>
  <c r="F94" i="49" s="1"/>
  <c r="E88" i="49"/>
  <c r="E74" i="49"/>
  <c r="E60" i="49"/>
  <c r="E59" i="49"/>
  <c r="F59" i="49" s="1"/>
  <c r="E48" i="49"/>
  <c r="F48" i="49" s="1"/>
  <c r="E46" i="49"/>
  <c r="E40" i="49"/>
  <c r="E37" i="49"/>
  <c r="F37" i="49" s="1"/>
  <c r="E32" i="49"/>
  <c r="F32" i="49" s="1"/>
  <c r="E27" i="49"/>
  <c r="F27" i="49" s="1"/>
  <c r="I34" i="49" l="1"/>
  <c r="K95" i="49"/>
  <c r="I95" i="49" s="1"/>
  <c r="I118" i="49"/>
  <c r="N19" i="34"/>
  <c r="F192" i="49"/>
  <c r="E76" i="49"/>
  <c r="F76" i="49" s="1"/>
  <c r="F74" i="49"/>
  <c r="E89" i="49"/>
  <c r="F88" i="49"/>
  <c r="F89" i="49" s="1"/>
  <c r="F118" i="49"/>
  <c r="E62" i="49"/>
  <c r="F60" i="49"/>
  <c r="E160" i="50"/>
  <c r="F160" i="50" s="1"/>
  <c r="F28" i="50"/>
  <c r="F29" i="50" s="1"/>
  <c r="E95" i="49"/>
  <c r="F95" i="49" s="1"/>
  <c r="E157" i="50"/>
  <c r="E29" i="50"/>
  <c r="E12" i="50" s="1"/>
  <c r="F12" i="50" s="1"/>
  <c r="E88" i="50"/>
  <c r="G12" i="50"/>
  <c r="G157" i="50"/>
  <c r="E177" i="49"/>
  <c r="F177" i="49" s="1"/>
  <c r="E280" i="49"/>
  <c r="F280" i="49" s="1"/>
  <c r="E276" i="49"/>
  <c r="F276" i="49" s="1"/>
  <c r="E192" i="49"/>
  <c r="E277" i="49"/>
  <c r="F277" i="49" s="1"/>
  <c r="E34" i="49" l="1"/>
  <c r="F34" i="49" s="1"/>
  <c r="F62" i="49"/>
  <c r="E156" i="50"/>
  <c r="E166" i="50" s="1"/>
  <c r="F157" i="50"/>
  <c r="E156" i="49"/>
  <c r="F156" i="49" s="1"/>
  <c r="G156" i="50"/>
  <c r="G166" i="50" s="1"/>
  <c r="E275" i="49"/>
  <c r="E285" i="49" l="1"/>
  <c r="F275" i="49"/>
  <c r="F156" i="50"/>
  <c r="N20" i="34" l="1"/>
  <c r="H287" i="49"/>
  <c r="F285" i="49"/>
  <c r="F166" i="50"/>
  <c r="H74" i="48"/>
  <c r="G74" i="48"/>
  <c r="G72" i="48" s="1"/>
  <c r="E74" i="48"/>
  <c r="E72" i="48" s="1"/>
  <c r="H72" i="48" l="1"/>
  <c r="I72" i="48" s="1"/>
  <c r="I74" i="48"/>
  <c r="G250" i="54"/>
  <c r="G247" i="54" s="1"/>
  <c r="H250" i="54"/>
  <c r="I250" i="54" s="1"/>
  <c r="G262" i="54"/>
  <c r="H262" i="54"/>
  <c r="G261" i="54"/>
  <c r="G260" i="54"/>
  <c r="G259" i="54"/>
  <c r="H259" i="54"/>
  <c r="I259" i="54" s="1"/>
  <c r="G243" i="54"/>
  <c r="G241" i="54" s="1"/>
  <c r="H243" i="54"/>
  <c r="I243" i="54" s="1"/>
  <c r="G240" i="54"/>
  <c r="G232" i="54" s="1"/>
  <c r="H240" i="54"/>
  <c r="I240" i="54" s="1"/>
  <c r="K232" i="54"/>
  <c r="L232" i="54"/>
  <c r="G246" i="54"/>
  <c r="G244" i="54" s="1"/>
  <c r="H246" i="54"/>
  <c r="I246" i="54" s="1"/>
  <c r="G231" i="54"/>
  <c r="G229" i="54"/>
  <c r="G227" i="54"/>
  <c r="G225" i="54"/>
  <c r="H225" i="54"/>
  <c r="I225" i="54" s="1"/>
  <c r="K225" i="54"/>
  <c r="L225" i="54"/>
  <c r="G219" i="54"/>
  <c r="H219" i="54"/>
  <c r="I219" i="54" s="1"/>
  <c r="G216" i="54"/>
  <c r="H216" i="54"/>
  <c r="I216" i="54" s="1"/>
  <c r="G214" i="54"/>
  <c r="H214" i="54"/>
  <c r="K214" i="54"/>
  <c r="L214" i="54"/>
  <c r="G210" i="54"/>
  <c r="H210" i="54"/>
  <c r="I210" i="54" s="1"/>
  <c r="K210" i="54"/>
  <c r="L210" i="54"/>
  <c r="G94" i="54"/>
  <c r="H94" i="54"/>
  <c r="K94" i="54"/>
  <c r="L94" i="54"/>
  <c r="G113" i="54"/>
  <c r="H113" i="54"/>
  <c r="I113" i="54" s="1"/>
  <c r="G124" i="54"/>
  <c r="K124" i="54"/>
  <c r="L124" i="54"/>
  <c r="G127" i="54"/>
  <c r="H127" i="54"/>
  <c r="I127" i="54" s="1"/>
  <c r="K127" i="54"/>
  <c r="L127" i="54"/>
  <c r="G129" i="54"/>
  <c r="H129" i="54"/>
  <c r="I129" i="54" s="1"/>
  <c r="K129" i="54"/>
  <c r="L129" i="54"/>
  <c r="G131" i="54"/>
  <c r="H131" i="54"/>
  <c r="I131" i="54" s="1"/>
  <c r="G149" i="54"/>
  <c r="H149" i="54"/>
  <c r="I149" i="54" s="1"/>
  <c r="G160" i="54"/>
  <c r="H160" i="54"/>
  <c r="K160" i="54"/>
  <c r="L160" i="54"/>
  <c r="G170" i="54"/>
  <c r="G166" i="54" s="1"/>
  <c r="G198" i="54"/>
  <c r="G196" i="54" s="1"/>
  <c r="H198" i="54"/>
  <c r="I198" i="54" s="1"/>
  <c r="E198" i="54"/>
  <c r="E196" i="54" s="1"/>
  <c r="I262" i="54" l="1"/>
  <c r="H36" i="34"/>
  <c r="I36" i="34" s="1"/>
  <c r="K206" i="54"/>
  <c r="K125" i="54"/>
  <c r="L125" i="54"/>
  <c r="L206" i="54"/>
  <c r="H166" i="54"/>
  <c r="I166" i="54" s="1"/>
  <c r="H244" i="54"/>
  <c r="I244" i="54" s="1"/>
  <c r="H196" i="54"/>
  <c r="F198" i="54"/>
  <c r="H232" i="54"/>
  <c r="I232" i="54" s="1"/>
  <c r="H247" i="54"/>
  <c r="I247" i="54" s="1"/>
  <c r="H241" i="54"/>
  <c r="I241" i="54" s="1"/>
  <c r="G206" i="54"/>
  <c r="G125" i="54"/>
  <c r="H206" i="54"/>
  <c r="I206" i="54" s="1"/>
  <c r="H125" i="54"/>
  <c r="I125" i="54" s="1"/>
  <c r="G108" i="54"/>
  <c r="G91" i="54" s="1"/>
  <c r="H108" i="54"/>
  <c r="I108" i="54" s="1"/>
  <c r="K108" i="54"/>
  <c r="L108" i="54"/>
  <c r="L263" i="54" s="1"/>
  <c r="G90" i="54"/>
  <c r="H90" i="54"/>
  <c r="I90" i="54" s="1"/>
  <c r="K90" i="54"/>
  <c r="L90" i="54"/>
  <c r="G88" i="54"/>
  <c r="H88" i="54"/>
  <c r="I88" i="54" s="1"/>
  <c r="G86" i="54"/>
  <c r="H86" i="54"/>
  <c r="K86" i="54"/>
  <c r="L86" i="54"/>
  <c r="G80" i="54"/>
  <c r="H80" i="54"/>
  <c r="I80" i="54" s="1"/>
  <c r="K80" i="54"/>
  <c r="L80" i="54"/>
  <c r="G78" i="54"/>
  <c r="H78" i="54"/>
  <c r="I78" i="54" s="1"/>
  <c r="G72" i="54"/>
  <c r="G67" i="54"/>
  <c r="H67" i="54"/>
  <c r="I67" i="54" s="1"/>
  <c r="K67" i="54"/>
  <c r="L67" i="54"/>
  <c r="G51" i="54"/>
  <c r="G266" i="54" s="1"/>
  <c r="H51" i="54"/>
  <c r="L257" i="54" l="1"/>
  <c r="L37" i="34"/>
  <c r="K263" i="54"/>
  <c r="H266" i="54"/>
  <c r="K267" i="54" s="1"/>
  <c r="I51" i="54"/>
  <c r="F196" i="54"/>
  <c r="I196" i="54"/>
  <c r="L91" i="54"/>
  <c r="K91" i="54"/>
  <c r="L45" i="54"/>
  <c r="K45" i="54"/>
  <c r="H91" i="54"/>
  <c r="I91" i="54" s="1"/>
  <c r="H263" i="54"/>
  <c r="H37" i="34" s="1"/>
  <c r="H45" i="54"/>
  <c r="I45" i="54" s="1"/>
  <c r="G45" i="54"/>
  <c r="G113" i="51"/>
  <c r="G114" i="51" s="1"/>
  <c r="G112" i="51" s="1"/>
  <c r="H113" i="51"/>
  <c r="H155" i="51" s="1"/>
  <c r="I155" i="51" s="1"/>
  <c r="K113" i="51"/>
  <c r="L113" i="51"/>
  <c r="K257" i="54" l="1"/>
  <c r="K272" i="54"/>
  <c r="K37" i="34"/>
  <c r="B28" i="60"/>
  <c r="K155" i="51"/>
  <c r="K154" i="51" s="1"/>
  <c r="K164" i="51" s="1"/>
  <c r="C28" i="60"/>
  <c r="L155" i="51"/>
  <c r="L27" i="34" s="1"/>
  <c r="Q36" i="34" s="1"/>
  <c r="P37" i="34" s="1"/>
  <c r="Q37" i="34" s="1"/>
  <c r="I266" i="54"/>
  <c r="I263" i="54"/>
  <c r="L265" i="54"/>
  <c r="L274" i="54" s="1"/>
  <c r="H154" i="51"/>
  <c r="I154" i="51" s="1"/>
  <c r="L114" i="51"/>
  <c r="L112" i="51" s="1"/>
  <c r="K114" i="51"/>
  <c r="K112" i="51" s="1"/>
  <c r="H114" i="51"/>
  <c r="G37" i="54"/>
  <c r="G258" i="54" s="1"/>
  <c r="H37" i="54"/>
  <c r="G26" i="54"/>
  <c r="H26" i="54"/>
  <c r="I26" i="54" s="1"/>
  <c r="K172" i="51" l="1"/>
  <c r="T13" i="61"/>
  <c r="L154" i="51"/>
  <c r="L25" i="34"/>
  <c r="K169" i="51"/>
  <c r="K27" i="34"/>
  <c r="BA34" i="60"/>
  <c r="L23" i="34"/>
  <c r="I37" i="34"/>
  <c r="B30" i="60"/>
  <c r="B38" i="60"/>
  <c r="C30" i="60"/>
  <c r="C38" i="60"/>
  <c r="C40" i="60" s="1"/>
  <c r="AW28" i="60"/>
  <c r="AX28" i="60"/>
  <c r="L164" i="51"/>
  <c r="H258" i="54"/>
  <c r="H27" i="34" s="1"/>
  <c r="I37" i="54"/>
  <c r="H112" i="51"/>
  <c r="H39" i="54"/>
  <c r="I39" i="54" s="1"/>
  <c r="G39" i="54"/>
  <c r="L172" i="51" l="1"/>
  <c r="V13" i="61"/>
  <c r="T15" i="61"/>
  <c r="S13" i="61" s="1"/>
  <c r="Q27" i="34"/>
  <c r="P28" i="34" s="1"/>
  <c r="Q28" i="34" s="1"/>
  <c r="K25" i="34"/>
  <c r="L21" i="34"/>
  <c r="L24" i="34" s="1"/>
  <c r="M166" i="51"/>
  <c r="L39" i="34"/>
  <c r="L166" i="51"/>
  <c r="B40" i="60"/>
  <c r="P49" i="60"/>
  <c r="S49" i="60" s="1"/>
  <c r="U49" i="60" s="1"/>
  <c r="L45" i="60"/>
  <c r="L48" i="60" s="1"/>
  <c r="BA28" i="60"/>
  <c r="AZ28" i="60"/>
  <c r="AA14" i="34"/>
  <c r="H270" i="54"/>
  <c r="I258" i="54"/>
  <c r="O37" i="34"/>
  <c r="O38" i="34" s="1"/>
  <c r="O39" i="34" s="1"/>
  <c r="O27" i="34"/>
  <c r="O34" i="34"/>
  <c r="H257" i="54"/>
  <c r="I257" i="54" s="1"/>
  <c r="H164" i="51"/>
  <c r="G257" i="54"/>
  <c r="G79" i="48"/>
  <c r="G81" i="48"/>
  <c r="E81" i="48"/>
  <c r="F81" i="48" s="1"/>
  <c r="H79" i="48"/>
  <c r="I79" i="48" s="1"/>
  <c r="G78" i="48"/>
  <c r="S11" i="61" l="1"/>
  <c r="S12" i="61"/>
  <c r="V15" i="61"/>
  <c r="U13" i="61"/>
  <c r="I164" i="51"/>
  <c r="K166" i="51"/>
  <c r="M41" i="34"/>
  <c r="Y14" i="34"/>
  <c r="H77" i="48"/>
  <c r="I77" i="48" s="1"/>
  <c r="H29" i="34"/>
  <c r="H265" i="54"/>
  <c r="G265" i="54"/>
  <c r="H41" i="48"/>
  <c r="I41" i="48" s="1"/>
  <c r="G41" i="48"/>
  <c r="G50" i="48"/>
  <c r="H50" i="48"/>
  <c r="I50" i="48" s="1"/>
  <c r="U11" i="61" l="1"/>
  <c r="U12" i="61"/>
  <c r="I29" i="34"/>
  <c r="H25" i="34"/>
  <c r="I265" i="54"/>
  <c r="H23" i="34"/>
  <c r="G34" i="48"/>
  <c r="H34" i="48"/>
  <c r="I34" i="48" s="1"/>
  <c r="H32" i="48"/>
  <c r="I32" i="48" s="1"/>
  <c r="G32" i="48"/>
  <c r="G29" i="48"/>
  <c r="H29" i="48"/>
  <c r="I29" i="48" s="1"/>
  <c r="G24" i="48"/>
  <c r="G20" i="48"/>
  <c r="N23" i="34" l="1"/>
  <c r="H17" i="48"/>
  <c r="I17" i="48" s="1"/>
  <c r="G17" i="48"/>
  <c r="G160" i="51"/>
  <c r="L152" i="51" l="1"/>
  <c r="K152" i="51"/>
  <c r="K149" i="51" l="1"/>
  <c r="L149" i="51"/>
  <c r="G30" i="51"/>
  <c r="E30" i="51"/>
  <c r="F30" i="51" l="1"/>
  <c r="G107" i="51"/>
  <c r="H107" i="51"/>
  <c r="K59" i="51"/>
  <c r="K165" i="51" s="1"/>
  <c r="E59" i="51"/>
  <c r="L165" i="51" l="1"/>
  <c r="L40" i="34" s="1"/>
  <c r="F59" i="51"/>
  <c r="G59" i="51"/>
  <c r="G155" i="51"/>
  <c r="G22" i="51"/>
  <c r="H22" i="51"/>
  <c r="G63" i="51"/>
  <c r="H63" i="51"/>
  <c r="I63" i="51" s="1"/>
  <c r="E63" i="51"/>
  <c r="G80" i="51"/>
  <c r="H80" i="51"/>
  <c r="F63" i="51" l="1"/>
  <c r="G154" i="51"/>
  <c r="G37" i="51"/>
  <c r="E37" i="51"/>
  <c r="G20" i="51"/>
  <c r="G101" i="51"/>
  <c r="H101" i="51"/>
  <c r="G89" i="51"/>
  <c r="E262" i="54"/>
  <c r="E261" i="54"/>
  <c r="E260" i="54"/>
  <c r="E259" i="54"/>
  <c r="E214" i="54"/>
  <c r="F214" i="54" s="1"/>
  <c r="E160" i="54"/>
  <c r="F160" i="54" s="1"/>
  <c r="E149" i="54"/>
  <c r="F149" i="54" s="1"/>
  <c r="E131" i="54"/>
  <c r="F131" i="54" s="1"/>
  <c r="C131" i="54"/>
  <c r="B131" i="54"/>
  <c r="E124" i="54"/>
  <c r="F124" i="54" s="1"/>
  <c r="E113" i="54"/>
  <c r="F113" i="54" s="1"/>
  <c r="E86" i="54"/>
  <c r="F86" i="54" s="1"/>
  <c r="E67" i="54"/>
  <c r="F67" i="54" s="1"/>
  <c r="E37" i="54"/>
  <c r="E26" i="54"/>
  <c r="F26" i="54" s="1"/>
  <c r="F37" i="51" l="1"/>
  <c r="E258" i="54"/>
  <c r="F258" i="54" s="1"/>
  <c r="F37" i="54"/>
  <c r="F261" i="54"/>
  <c r="F259" i="54"/>
  <c r="F262" i="54"/>
  <c r="F260" i="54"/>
  <c r="E257" i="54" l="1"/>
  <c r="E265" i="54" s="1"/>
  <c r="H267" i="54" s="1"/>
  <c r="I267" i="54" s="1"/>
  <c r="E20" i="51" l="1"/>
  <c r="F20" i="51" s="1"/>
  <c r="E113" i="51"/>
  <c r="E107" i="51"/>
  <c r="E101" i="51"/>
  <c r="F101" i="51" s="1"/>
  <c r="E92" i="51"/>
  <c r="F92" i="51" s="1"/>
  <c r="E89" i="51"/>
  <c r="F89" i="51" s="1"/>
  <c r="E80" i="51"/>
  <c r="F80" i="51" s="1"/>
  <c r="E155" i="51" l="1"/>
  <c r="F113" i="51"/>
  <c r="E79" i="48"/>
  <c r="F79" i="48" s="1"/>
  <c r="E78" i="48"/>
  <c r="F78" i="48" s="1"/>
  <c r="L63" i="48"/>
  <c r="K63" i="48"/>
  <c r="H63" i="48"/>
  <c r="G63" i="48"/>
  <c r="E63" i="48"/>
  <c r="E24" i="48"/>
  <c r="F24" i="48" s="1"/>
  <c r="E154" i="51" l="1"/>
  <c r="F154" i="51" s="1"/>
  <c r="F155" i="51"/>
  <c r="F63" i="48"/>
  <c r="E77" i="48"/>
  <c r="G69" i="46" l="1"/>
  <c r="E250" i="54"/>
  <c r="F250" i="54" s="1"/>
  <c r="E246" i="54"/>
  <c r="F246" i="54" s="1"/>
  <c r="E243" i="54"/>
  <c r="F243" i="54" s="1"/>
  <c r="E240" i="54"/>
  <c r="F240" i="54" s="1"/>
  <c r="E234" i="54"/>
  <c r="F234" i="54" s="1"/>
  <c r="E229" i="54"/>
  <c r="F229" i="54" s="1"/>
  <c r="E231" i="54"/>
  <c r="F231" i="54" s="1"/>
  <c r="E227" i="54"/>
  <c r="F227" i="54" s="1"/>
  <c r="E225" i="54"/>
  <c r="F225" i="54" s="1"/>
  <c r="E219" i="54"/>
  <c r="F219" i="54" s="1"/>
  <c r="E216" i="54"/>
  <c r="F216" i="54" s="1"/>
  <c r="E210" i="54"/>
  <c r="F210" i="54" s="1"/>
  <c r="E208" i="54"/>
  <c r="F208" i="54" s="1"/>
  <c r="H152" i="51"/>
  <c r="H165" i="51" s="1"/>
  <c r="G152" i="51"/>
  <c r="G149" i="51" s="1"/>
  <c r="E152" i="51"/>
  <c r="E149" i="51" s="1"/>
  <c r="L143" i="51"/>
  <c r="K145" i="51"/>
  <c r="K143" i="51" s="1"/>
  <c r="H145" i="51"/>
  <c r="G145" i="51"/>
  <c r="G143" i="51" s="1"/>
  <c r="E145" i="51"/>
  <c r="E143" i="51" s="1"/>
  <c r="L140" i="51"/>
  <c r="K140" i="51"/>
  <c r="H142" i="51"/>
  <c r="G142" i="51"/>
  <c r="G140" i="51" s="1"/>
  <c r="E142" i="51"/>
  <c r="E140" i="51" s="1"/>
  <c r="G164" i="51"/>
  <c r="E164" i="51"/>
  <c r="L153" i="51"/>
  <c r="K153" i="51"/>
  <c r="H153" i="51"/>
  <c r="G153" i="51"/>
  <c r="E114" i="51"/>
  <c r="F114" i="51" s="1"/>
  <c r="G92" i="51"/>
  <c r="L75" i="51"/>
  <c r="K75" i="51"/>
  <c r="H75" i="51"/>
  <c r="G75" i="51"/>
  <c r="E75" i="51"/>
  <c r="H47" i="51"/>
  <c r="G47" i="51"/>
  <c r="E47" i="51"/>
  <c r="H27" i="51"/>
  <c r="I27" i="51" s="1"/>
  <c r="G27" i="51"/>
  <c r="E27" i="51"/>
  <c r="E22" i="51"/>
  <c r="F22" i="51" s="1"/>
  <c r="I165" i="51" l="1"/>
  <c r="H40" i="34"/>
  <c r="E131" i="51"/>
  <c r="E132" i="51" s="1"/>
  <c r="G131" i="51"/>
  <c r="G132" i="51" s="1"/>
  <c r="H16" i="51"/>
  <c r="H143" i="51"/>
  <c r="F143" i="51" s="1"/>
  <c r="F145" i="51"/>
  <c r="F27" i="51"/>
  <c r="F75" i="51"/>
  <c r="H140" i="51"/>
  <c r="F142" i="51"/>
  <c r="E206" i="54"/>
  <c r="F206" i="54" s="1"/>
  <c r="E232" i="54"/>
  <c r="F232" i="54" s="1"/>
  <c r="E241" i="54"/>
  <c r="F241" i="54" s="1"/>
  <c r="E244" i="54"/>
  <c r="F244" i="54" s="1"/>
  <c r="E247" i="54"/>
  <c r="F247" i="54" s="1"/>
  <c r="G16" i="51"/>
  <c r="K16" i="51"/>
  <c r="L16" i="51"/>
  <c r="E112" i="51"/>
  <c r="F112" i="51" s="1"/>
  <c r="H149" i="51"/>
  <c r="E16" i="51"/>
  <c r="G165" i="51"/>
  <c r="K21" i="34"/>
  <c r="Y13" i="34" l="1"/>
  <c r="F140" i="51"/>
  <c r="F16" i="51"/>
  <c r="F164" i="51"/>
  <c r="H166" i="51"/>
  <c r="H21" i="34"/>
  <c r="E34" i="48"/>
  <c r="F34" i="48" s="1"/>
  <c r="E32" i="48"/>
  <c r="F32" i="48" s="1"/>
  <c r="E29" i="48"/>
  <c r="F29" i="48" s="1"/>
  <c r="L256" i="54"/>
  <c r="K256" i="54"/>
  <c r="H256" i="54"/>
  <c r="G256" i="54"/>
  <c r="E170" i="54"/>
  <c r="E164" i="54"/>
  <c r="F164" i="54" s="1"/>
  <c r="C149" i="54"/>
  <c r="F136" i="54"/>
  <c r="C136" i="54"/>
  <c r="B136" i="54"/>
  <c r="E129" i="54"/>
  <c r="C129" i="54"/>
  <c r="B129" i="54"/>
  <c r="E127" i="54"/>
  <c r="C127" i="54"/>
  <c r="B127" i="54"/>
  <c r="E108" i="54"/>
  <c r="F108" i="54" s="1"/>
  <c r="E94" i="54"/>
  <c r="E90" i="54"/>
  <c r="F90" i="54" s="1"/>
  <c r="E88" i="54"/>
  <c r="F88" i="54" s="1"/>
  <c r="E80" i="54"/>
  <c r="F80" i="54" s="1"/>
  <c r="E78" i="54"/>
  <c r="F78" i="54" s="1"/>
  <c r="E72" i="54"/>
  <c r="F72" i="54" s="1"/>
  <c r="E51" i="54"/>
  <c r="F51" i="54" s="1"/>
  <c r="H44" i="54"/>
  <c r="I44" i="54" s="1"/>
  <c r="G44" i="54"/>
  <c r="E44" i="54"/>
  <c r="E39" i="54"/>
  <c r="F39" i="54" s="1"/>
  <c r="H35" i="54"/>
  <c r="I35" i="54" s="1"/>
  <c r="G35" i="54"/>
  <c r="E35" i="54"/>
  <c r="E85" i="48"/>
  <c r="K18" i="34"/>
  <c r="L76" i="48"/>
  <c r="K76" i="48"/>
  <c r="H76" i="48"/>
  <c r="G76" i="48"/>
  <c r="L59" i="48"/>
  <c r="K59" i="48"/>
  <c r="H61" i="48"/>
  <c r="I61" i="48" s="1"/>
  <c r="G61" i="48"/>
  <c r="G59" i="48" s="1"/>
  <c r="E61" i="48"/>
  <c r="E59" i="48" s="1"/>
  <c r="H58" i="48"/>
  <c r="I58" i="48" s="1"/>
  <c r="G58" i="48"/>
  <c r="E58" i="48"/>
  <c r="L56" i="48"/>
  <c r="K56" i="48"/>
  <c r="H56" i="48"/>
  <c r="G56" i="48"/>
  <c r="E56" i="48"/>
  <c r="E50" i="48"/>
  <c r="F50" i="48" s="1"/>
  <c r="L48" i="48"/>
  <c r="K48" i="48"/>
  <c r="H48" i="48"/>
  <c r="G48" i="48"/>
  <c r="E48" i="48"/>
  <c r="H45" i="48"/>
  <c r="I45" i="48" s="1"/>
  <c r="G45" i="48"/>
  <c r="E45" i="48"/>
  <c r="H43" i="48"/>
  <c r="I43" i="48" s="1"/>
  <c r="G43" i="48"/>
  <c r="E43" i="48"/>
  <c r="E41" i="48"/>
  <c r="F41" i="48" s="1"/>
  <c r="H39" i="48"/>
  <c r="I39" i="48" s="1"/>
  <c r="G39" i="48"/>
  <c r="E39" i="48"/>
  <c r="E20" i="48"/>
  <c r="I48" i="48" l="1"/>
  <c r="I56" i="48"/>
  <c r="K46" i="48"/>
  <c r="V13" i="34"/>
  <c r="V14" i="34"/>
  <c r="I21" i="34"/>
  <c r="L46" i="48"/>
  <c r="F132" i="51"/>
  <c r="F131" i="51"/>
  <c r="K24" i="54"/>
  <c r="L24" i="54"/>
  <c r="H24" i="54"/>
  <c r="I24" i="54" s="1"/>
  <c r="F43" i="48"/>
  <c r="F56" i="48"/>
  <c r="F44" i="54"/>
  <c r="E17" i="48"/>
  <c r="F17" i="48" s="1"/>
  <c r="F20" i="48"/>
  <c r="F39" i="48"/>
  <c r="H59" i="48"/>
  <c r="F59" i="48" s="1"/>
  <c r="F61" i="48"/>
  <c r="F48" i="48"/>
  <c r="F45" i="48"/>
  <c r="F58" i="48"/>
  <c r="H85" i="48"/>
  <c r="K87" i="48" s="1"/>
  <c r="F77" i="48"/>
  <c r="N22" i="34"/>
  <c r="N21" i="34"/>
  <c r="G24" i="54"/>
  <c r="E166" i="54"/>
  <c r="F166" i="54" s="1"/>
  <c r="F170" i="54"/>
  <c r="E125" i="54"/>
  <c r="F125" i="54" s="1"/>
  <c r="E37" i="48"/>
  <c r="E46" i="48"/>
  <c r="G46" i="48"/>
  <c r="G37" i="48"/>
  <c r="H37" i="48"/>
  <c r="I37" i="48" s="1"/>
  <c r="H46" i="48"/>
  <c r="E45" i="54"/>
  <c r="F45" i="54" s="1"/>
  <c r="E91" i="54"/>
  <c r="F91" i="54" s="1"/>
  <c r="E24" i="54"/>
  <c r="G77" i="48"/>
  <c r="F257" i="54"/>
  <c r="I46" i="48" l="1"/>
  <c r="I59" i="48"/>
  <c r="H39" i="34"/>
  <c r="H87" i="48"/>
  <c r="I85" i="48"/>
  <c r="J87" i="48"/>
  <c r="F37" i="48"/>
  <c r="F24" i="54"/>
  <c r="H18" i="34"/>
  <c r="I18" i="34" s="1"/>
  <c r="F46" i="48"/>
  <c r="F85" i="48"/>
  <c r="G85" i="48"/>
  <c r="E72" i="46"/>
  <c r="F72" i="46" s="1"/>
  <c r="E71" i="46"/>
  <c r="F71" i="46" s="1"/>
  <c r="L65" i="46"/>
  <c r="K65" i="46"/>
  <c r="I65" i="46" s="1"/>
  <c r="G65" i="46"/>
  <c r="E65" i="46"/>
  <c r="F65" i="46" s="1"/>
  <c r="G52" i="46"/>
  <c r="E52" i="46"/>
  <c r="L69" i="46"/>
  <c r="K69" i="46"/>
  <c r="H24" i="34" l="1"/>
  <c r="N18" i="34"/>
  <c r="E25" i="46"/>
  <c r="F25" i="46" s="1"/>
  <c r="F52" i="46"/>
  <c r="E70" i="46"/>
  <c r="F265" i="54"/>
  <c r="G25" i="46"/>
  <c r="L25" i="46"/>
  <c r="E347" i="45"/>
  <c r="F347" i="45" s="1"/>
  <c r="E333" i="45"/>
  <c r="E310" i="45"/>
  <c r="F310" i="45" s="1"/>
  <c r="E274" i="45"/>
  <c r="F274" i="45" s="1"/>
  <c r="E250" i="45"/>
  <c r="F250" i="45" s="1"/>
  <c r="E244" i="45"/>
  <c r="F244" i="45" s="1"/>
  <c r="E242" i="45"/>
  <c r="F242" i="45" s="1"/>
  <c r="E224" i="45"/>
  <c r="F224" i="45" s="1"/>
  <c r="E208" i="45"/>
  <c r="F208" i="45" s="1"/>
  <c r="E196" i="45"/>
  <c r="F196" i="45" s="1"/>
  <c r="E177" i="45"/>
  <c r="F177" i="45" s="1"/>
  <c r="E163" i="45"/>
  <c r="F163" i="45" s="1"/>
  <c r="C333" i="45"/>
  <c r="E81" i="45"/>
  <c r="F81" i="45" s="1"/>
  <c r="E96" i="45"/>
  <c r="E90" i="45"/>
  <c r="E79" i="45"/>
  <c r="F79" i="45" s="1"/>
  <c r="E160" i="45"/>
  <c r="E156" i="45"/>
  <c r="E150" i="45"/>
  <c r="E144" i="45"/>
  <c r="E138" i="45"/>
  <c r="E132" i="45"/>
  <c r="E126" i="45"/>
  <c r="E120" i="45"/>
  <c r="E114" i="45"/>
  <c r="E108" i="45"/>
  <c r="E102" i="45"/>
  <c r="E78" i="45"/>
  <c r="E74" i="45"/>
  <c r="E70" i="45"/>
  <c r="E65" i="45"/>
  <c r="E56" i="45"/>
  <c r="E52" i="45"/>
  <c r="E50" i="45"/>
  <c r="E42" i="45"/>
  <c r="E32" i="45"/>
  <c r="E27" i="45"/>
  <c r="E79" i="46" l="1"/>
  <c r="H81" i="46" s="1"/>
  <c r="I81" i="46" s="1"/>
  <c r="F70" i="46"/>
  <c r="E59" i="45"/>
  <c r="E341" i="45"/>
  <c r="F341" i="45" s="1"/>
  <c r="E331" i="45"/>
  <c r="F331" i="45" s="1"/>
  <c r="F333" i="45"/>
  <c r="E45" i="45"/>
  <c r="E35" i="45"/>
  <c r="E227" i="45"/>
  <c r="F227" i="45" s="1"/>
  <c r="E54" i="45"/>
  <c r="E30" i="45"/>
  <c r="E17" i="45"/>
  <c r="F17" i="45" s="1"/>
  <c r="E25" i="45"/>
  <c r="E342" i="45"/>
  <c r="F342" i="45" s="1"/>
  <c r="E84" i="45"/>
  <c r="F84" i="45" s="1"/>
  <c r="F79" i="46" l="1"/>
  <c r="E161" i="45"/>
  <c r="F161" i="45" s="1"/>
  <c r="E21" i="45"/>
  <c r="F21" i="45" s="1"/>
  <c r="E346" i="45"/>
  <c r="F346" i="45" s="1"/>
  <c r="B333" i="45"/>
  <c r="E15" i="45" l="1"/>
  <c r="F15" i="45" s="1"/>
  <c r="E340" i="45"/>
  <c r="F340" i="45" s="1"/>
  <c r="G340" i="45"/>
  <c r="K15" i="34"/>
  <c r="S13" i="34" l="1"/>
  <c r="I15" i="34"/>
  <c r="E351" i="45"/>
  <c r="G351" i="45"/>
  <c r="F351" i="45" l="1"/>
  <c r="E352" i="45" l="1"/>
  <c r="E245" i="45"/>
  <c r="G245" i="45"/>
  <c r="F245" i="45" l="1"/>
  <c r="F352" i="45"/>
  <c r="I26" i="46" l="1"/>
  <c r="K28" i="46"/>
  <c r="K25" i="46" l="1"/>
  <c r="I25" i="46" s="1"/>
  <c r="I28" i="46"/>
  <c r="K16" i="34"/>
  <c r="K198" i="54"/>
  <c r="K196" i="54" s="1"/>
  <c r="T13" i="34" l="1"/>
  <c r="I16" i="34"/>
  <c r="K265" i="54"/>
  <c r="AZ34" i="60" l="1"/>
  <c r="K274" i="54"/>
  <c r="K275" i="54" s="1"/>
  <c r="K23" i="34"/>
  <c r="AA13" i="34" l="1"/>
  <c r="I23" i="34"/>
  <c r="K237" i="49"/>
  <c r="K249" i="49"/>
  <c r="I237" i="49" l="1"/>
  <c r="K286" i="49"/>
  <c r="I286" i="49" s="1"/>
  <c r="K285" i="49"/>
  <c r="K297" i="49" s="1"/>
  <c r="K298" i="49" s="1"/>
  <c r="K299" i="49" s="1"/>
  <c r="K156" i="49"/>
  <c r="I156" i="49" s="1"/>
  <c r="K40" i="34" l="1"/>
  <c r="I40" i="34" s="1"/>
  <c r="AZ22" i="60"/>
  <c r="I285" i="49"/>
  <c r="L287" i="49"/>
  <c r="K287" i="49"/>
  <c r="I287" i="49" s="1"/>
  <c r="K19" i="34"/>
  <c r="K24" i="34" s="1"/>
  <c r="K39" i="34"/>
  <c r="L41" i="34" s="1"/>
  <c r="K41" i="34" l="1"/>
  <c r="I27" i="34"/>
  <c r="I24" i="34"/>
  <c r="W13" i="34"/>
  <c r="I19" i="34"/>
  <c r="I39" i="34"/>
  <c r="L245" i="45"/>
  <c r="I279" i="45"/>
  <c r="K245" i="45" l="1"/>
  <c r="I245" i="4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Inga</author>
  </authors>
  <commentList>
    <comment ref="Q27" authorId="0" shapeId="0" xr:uid="{3FA50171-D990-4B56-8218-ACA0DAB10565}">
      <text>
        <r>
          <rPr>
            <b/>
            <sz val="9"/>
            <color indexed="81"/>
            <rFont val="Tahoma"/>
            <family val="2"/>
          </rPr>
          <t>Inga:</t>
        </r>
        <r>
          <rPr>
            <sz val="9"/>
            <color indexed="81"/>
            <rFont val="Tahoma"/>
            <family val="2"/>
          </rPr>
          <t xml:space="preserve">
SVP didesnis del AA lesu ir finansainiu isispareigojimu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Inga</author>
  </authors>
  <commentList>
    <comment ref="K349" authorId="0" shapeId="0" xr:uid="{7AC15EEA-814B-46A0-A573-8F3AE0500148}">
      <text>
        <r>
          <rPr>
            <b/>
            <sz val="9"/>
            <color indexed="81"/>
            <rFont val="Tahoma"/>
            <family val="2"/>
          </rPr>
          <t>Inga:</t>
        </r>
        <r>
          <rPr>
            <sz val="9"/>
            <color indexed="81"/>
            <rFont val="Tahoma"/>
            <family val="2"/>
          </rPr>
          <t xml:space="preserve">
likutis mažesnis , nes ĮP likutis atskirai</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Inga</author>
  </authors>
  <commentList>
    <comment ref="G127" authorId="0" shapeId="0" xr:uid="{F44B8295-2D73-4EC1-989B-CA862A61F578}">
      <text>
        <r>
          <rPr>
            <b/>
            <sz val="9"/>
            <color indexed="81"/>
            <rFont val="Tahoma"/>
            <family val="2"/>
          </rPr>
          <t>Inga:</t>
        </r>
        <r>
          <rPr>
            <sz val="9"/>
            <color indexed="81"/>
            <rFont val="Tahoma"/>
            <family val="2"/>
          </rPr>
          <t xml:space="preserve">
+270 000 Eur iš 10 programos 10.02.03.01. priemonės numatytų pastato griovimui. Pakeisti projektų lentelėje.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Inga</author>
  </authors>
  <commentList>
    <comment ref="A32" authorId="0" shapeId="0" xr:uid="{E02C631A-BD06-497B-A540-29B92F74AE4E}">
      <text>
        <r>
          <rPr>
            <b/>
            <sz val="9"/>
            <color indexed="81"/>
            <rFont val="Tahoma"/>
            <family val="2"/>
          </rPr>
          <t>Inga:</t>
        </r>
        <r>
          <rPr>
            <sz val="9"/>
            <color indexed="81"/>
            <rFont val="Tahoma"/>
            <family val="2"/>
          </rPr>
          <t xml:space="preserve">
Manatas sako, kad čia turėtų būti nauja priemon4, nes asignavimai rekreacijai</t>
        </r>
      </text>
    </comment>
    <comment ref="B92" authorId="0" shapeId="0" xr:uid="{0A09BAF5-36F1-45F8-AA42-B5F665ADF822}">
      <text>
        <r>
          <rPr>
            <b/>
            <sz val="9"/>
            <color indexed="81"/>
            <rFont val="Tahoma"/>
            <family val="2"/>
          </rPr>
          <t>Inga:</t>
        </r>
        <r>
          <rPr>
            <sz val="9"/>
            <color indexed="81"/>
            <rFont val="Tahoma"/>
            <family val="2"/>
          </rPr>
          <t xml:space="preserve">
Lėšos numatytos 09.03.01.04 prie VIZA projektų. Šitą priemonę panaikinsiu.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<sst xmlns="http://schemas.openxmlformats.org/spreadsheetml/2006/main" count="8068" uniqueCount="4260">
  <si>
    <t>P-05-01-01-02</t>
  </si>
  <si>
    <t>P-10-03-02-02</t>
  </si>
  <si>
    <t>P-10-01-01-01</t>
  </si>
  <si>
    <t>žm. skaičius</t>
  </si>
  <si>
    <t>30</t>
  </si>
  <si>
    <t>Vykdomų sveikatinimo programų skaičius</t>
  </si>
  <si>
    <t>P-07-01-01-01</t>
  </si>
  <si>
    <t>01.02. Uždavinys. Remti sveikatos priežiūros paslaugų teikimą nustatytų kategorijų žmonėms</t>
  </si>
  <si>
    <t>Atliktų irklavimo bazės įrengimo Visagino ežero pakrantėje darbų procentas</t>
  </si>
  <si>
    <t>20</t>
  </si>
  <si>
    <t>Miestų partnerių skaičius</t>
  </si>
  <si>
    <t>P-01-02-04-01</t>
  </si>
  <si>
    <t>P-07-01-01-02</t>
  </si>
  <si>
    <t>P-07-01-01-03</t>
  </si>
  <si>
    <t>P-07-01-01-05</t>
  </si>
  <si>
    <t>P-07-01-01-07</t>
  </si>
  <si>
    <t>04 Visagino savivaldybės gyventojų kultūrinio aktyvumo skatinimo ir identiteto stiprinimo programa</t>
  </si>
  <si>
    <t>P-01-01-05-02</t>
  </si>
  <si>
    <t>asmenų skaičius</t>
  </si>
  <si>
    <t>P-07-01-03-02</t>
  </si>
  <si>
    <t>P-07-01-03-03</t>
  </si>
  <si>
    <t>P-06-02-01-02</t>
  </si>
  <si>
    <t>P-03-01-02-01</t>
  </si>
  <si>
    <t>P-01-01-05-01</t>
  </si>
  <si>
    <t>R-08-01-01</t>
  </si>
  <si>
    <t>Įrengtų liftų skaičius</t>
  </si>
  <si>
    <t>02 strateginis tikslas. Gerinti socialinę aplinką teikiant kokybiškas paslaugas</t>
  </si>
  <si>
    <t>Miesto vaizdo stebėjimo kamerų tinklo funkcionavimo užtikrinimas</t>
  </si>
  <si>
    <t>P-10-02-03-02</t>
  </si>
  <si>
    <t>P-10-02-04-03</t>
  </si>
  <si>
    <t>Įrengtų lauko vasaros estradų skaičius</t>
  </si>
  <si>
    <t>P-08-01-01-06</t>
  </si>
  <si>
    <t>01.02. Uždavinys. Gerinti tiekiamo geriamojo vandens kokybę ir nuotekų surinkimą bei valymą</t>
  </si>
  <si>
    <t>P-08-01-02-01</t>
  </si>
  <si>
    <t>km</t>
  </si>
  <si>
    <t>Jaunimo savarankiškos veiklos skatinimo srityje organizuotų akcijų ir renginių skaičius</t>
  </si>
  <si>
    <t>P-05-02-01-04</t>
  </si>
  <si>
    <t>06 Visagino savivaldybės socialinės paramos įgyvendinimo programa</t>
  </si>
  <si>
    <t>01 tikslas. Teikti socialinę (finansinę) paramą Visagino savivaldybės gyventojams bei skatinti socialinių paslaugų plėtrą bendruomenėje</t>
  </si>
  <si>
    <t>Suteiktos paramos dalis</t>
  </si>
  <si>
    <t>R-06-01-01</t>
  </si>
  <si>
    <t>Įdiegtų priemonių, skirtų paslaugų ir (ar) aptarnavimo kokybei gerinti, skaičius</t>
  </si>
  <si>
    <t>R-04-02-02</t>
  </si>
  <si>
    <t>R-10-02-05</t>
  </si>
  <si>
    <t>P-09-02-01-02</t>
  </si>
  <si>
    <t>* informacinių leidinių, kuriuose skelbiama informacija apie savivaldybės veiklą, skaičius</t>
  </si>
  <si>
    <t>01.03. Uždavinys. Vykdyti triukšmo prevenciją</t>
  </si>
  <si>
    <t>P-08-01-03-01</t>
  </si>
  <si>
    <t xml:space="preserve">SB </t>
  </si>
  <si>
    <t>Visagino miesto kelių ženklinimas (KD)</t>
  </si>
  <si>
    <t>Visagino miesto kelių duobių remontas (KD)</t>
  </si>
  <si>
    <t>01.03. Uždavinys. Užtikrinti efektyvų savivaldybei nuosavybės teise priklausančio nekilnojamojo turto naudojimą, įmonių bei įstaigų valdymą</t>
  </si>
  <si>
    <t>P-01-01-03-01</t>
  </si>
  <si>
    <t>Kelių priežiūros ir plėtros programos lėšų panaudojimas</t>
  </si>
  <si>
    <t>- pagal  pagrindinio ugdymo programą</t>
  </si>
  <si>
    <t>R-02-01-04</t>
  </si>
  <si>
    <t>03.02. Uždavinys. Vykdyti kapinių priežiūros darbus</t>
  </si>
  <si>
    <t>P-09-03-02-04</t>
  </si>
  <si>
    <t>Įrengtų informacinių lauko stendų skaičius</t>
  </si>
  <si>
    <t>Nusikalstamumo lygis (100 000 gyventojų tenka užregistruotų nusikalstamų veikų)</t>
  </si>
  <si>
    <t>E-02-05</t>
  </si>
  <si>
    <t>P-10-01-01-07</t>
  </si>
  <si>
    <t>Paremtų vietos iniciatyvų projektų skaičius</t>
  </si>
  <si>
    <t>Įrengtų naujų kapinių skaičius</t>
  </si>
  <si>
    <t>P-10-03-02-04</t>
  </si>
  <si>
    <t>P-04-01-01-03</t>
  </si>
  <si>
    <t>R-02-02-01</t>
  </si>
  <si>
    <t>P-02-02-01-01</t>
  </si>
  <si>
    <t>Aliktų aplinkos oro kokybės tyrimų skaičius</t>
  </si>
  <si>
    <t>P-08-01-01-08</t>
  </si>
  <si>
    <t>P-05-03-01-02</t>
  </si>
  <si>
    <t>Valstybės dotacijų, skirtų vykdyti valstybinėms (perduotoms savivaldybėms) funkcijoms, panaudojimas, proc.</t>
  </si>
  <si>
    <t>R-01-01-03</t>
  </si>
  <si>
    <t>PRODUKTO:</t>
  </si>
  <si>
    <t>01.01. Uždavinys. Organizuoti savivaldybės funkcijų įgyvendinimą</t>
  </si>
  <si>
    <t>P-09-01-01-04</t>
  </si>
  <si>
    <t>P-09-01-01-05</t>
  </si>
  <si>
    <t>val.</t>
  </si>
  <si>
    <t>Socialinės pašalpos gavėjų skaičius nuo gyventojų skaičiaus</t>
  </si>
  <si>
    <t>E-02-06</t>
  </si>
  <si>
    <t>05 Visagino savivaldybės bendruomeniškumo skatinimo programa</t>
  </si>
  <si>
    <t>Šiuolaikinių informacinių technologijų diegimas</t>
  </si>
  <si>
    <t>Reguliaraus susisiekimo autobusų maršrutais nuvažiuotas atstumas</t>
  </si>
  <si>
    <t>P-10-01-01-02</t>
  </si>
  <si>
    <t>Savivaldybės finansinių įsipareigojimų vykdymas (paskolų grąžinimas ir palūkanų mokėjimas)</t>
  </si>
  <si>
    <t>P-04-02-01-03</t>
  </si>
  <si>
    <t>Dalyvauta respublikiniuose ir tarptautiniuose renginiuose</t>
  </si>
  <si>
    <t>P-04-02-02-01</t>
  </si>
  <si>
    <t>P-04-02-02-02</t>
  </si>
  <si>
    <t>P-04-02-02-03</t>
  </si>
  <si>
    <t>P-04-02-02-04</t>
  </si>
  <si>
    <t>P-04-02-02-05</t>
  </si>
  <si>
    <t>Vykdomų formaliojo ir neformaliojo ugdymo programų skaičius savivaldybėje</t>
  </si>
  <si>
    <t>Neformaliojo švietimo programų teikėjų, registruotų ŠMIR, skaičius savivaldybėje</t>
  </si>
  <si>
    <t>R-02-01-05</t>
  </si>
  <si>
    <t>Suaugusiųjų bendrojo ugdymo klasėse besimokančiųjų skaičius</t>
  </si>
  <si>
    <t>Mokinių, besiugdančių neformaliojo ugdymo įstaigose ir kitose NVŠ programose, skaičius (pagal sutartis)</t>
  </si>
  <si>
    <t>R-10-02-07</t>
  </si>
  <si>
    <t>ha.</t>
  </si>
  <si>
    <t>Regeneruotos teritorijos plotas („Apleistų teritorijų konversija, regeneruojant buvusį karinį miestelį ir pritaikant kompleksą inovatyviai pramonei vystyti – SMART PARK įkūrimui“)</t>
  </si>
  <si>
    <t>Finansuotų įstaigų skaičius</t>
  </si>
  <si>
    <t>03.01. Uždavinys. Tvarkyti gyvenamąją aplinką, administruoti gatvių apšvietimo paslaugas</t>
  </si>
  <si>
    <t>Vaikų, besiugdančių pagal priešmokyklinio ugdymo programas, skaičius</t>
  </si>
  <si>
    <t>07 Visagino savivaldybės sveikatos apsaugos paslaugų kokybės gerinimo programa</t>
  </si>
  <si>
    <t>P-03-01-02-05</t>
  </si>
  <si>
    <t>vieta</t>
  </si>
  <si>
    <t>P-03-01-02-06</t>
  </si>
  <si>
    <t>Įgyvendintų priemonių aplinkos apsaugos programoje dalis</t>
  </si>
  <si>
    <t>E-03-02</t>
  </si>
  <si>
    <t>P-07-01-02-01</t>
  </si>
  <si>
    <t>Renovuotų daugiabučių namų dalis nuo bendro daugiabučių namų skaičiaus</t>
  </si>
  <si>
    <t>R-10-02-03</t>
  </si>
  <si>
    <t>02 tikslas. Plėtoti vaikų ir jaunimo socializacijos galimybes</t>
  </si>
  <si>
    <t>02 tikslas. Sudaryti sąlygas efektyvesnei, profesionalesnei savivaldybės administracijos darbo veiklai, optimizuoti savivaldybės administracijos darbą, laikantis viešumo ir skaidrumo principų</t>
  </si>
  <si>
    <t>P-02-01-01-02</t>
  </si>
  <si>
    <t>Aplinkos apsaugos rėmimo specialiosios programos priemonių įgyvendinimas lyginant su planuotomis</t>
  </si>
  <si>
    <t>-</t>
  </si>
  <si>
    <t>Pakeistų Visagino miesto apšvietimo tinklų netinkamų eksploatuoti linijų kiekis</t>
  </si>
  <si>
    <t>Mato vnt.</t>
  </si>
  <si>
    <t>Dainų šventėje dalyvavusių miesto kolektyvų skaičius</t>
  </si>
  <si>
    <t>P-04-02-01-04</t>
  </si>
  <si>
    <t>P-04-02-01-05</t>
  </si>
  <si>
    <t>Bendruomenės iniciatyvų, įgyvendintų su administracijos pagalba, skaičius</t>
  </si>
  <si>
    <t>Tautinių mažumų bendrijų renginiai Visagine ir reprezentacija išvykose Lietuvoje</t>
  </si>
  <si>
    <t>Tautinių mažumų bendrijų renginių skaičius užsienyje ir etninėse tėvynėse</t>
  </si>
  <si>
    <t>01.04. Uždavinys. Sudaryti sąlygas tinkamai prižiūrėti gyvūnus</t>
  </si>
  <si>
    <t>P-08-01-04-01</t>
  </si>
  <si>
    <t>Sugautų beglobių gyvūnų skaičius</t>
  </si>
  <si>
    <t>P-02-01-01-04</t>
  </si>
  <si>
    <t>Mokinių, besiugdančių pagal pradinio ugdymo programas, skaičius</t>
  </si>
  <si>
    <t>P-02-01-01-03</t>
  </si>
  <si>
    <t>Mokinių, besiugdančių pagal pagrindinio ugdymo programas, skaičius</t>
  </si>
  <si>
    <t>Gavusių paramą vietos iniciatyvų projektams įgyvendinti dalis nuo visų besikreipiančių paramos, procentas</t>
  </si>
  <si>
    <t>Gyvenamosios vietovės bendruomenės išrinktų seniūnaičių skaičius, jų darbo užtikrinimas</t>
  </si>
  <si>
    <t>Suteiktų konsultacijų mokiniams ir mokytojams skaičius</t>
  </si>
  <si>
    <t>Ugdymo įstaigose organizuotų sveikatinimo renginių skaičius</t>
  </si>
  <si>
    <t>P-07-01-02-03</t>
  </si>
  <si>
    <t>P-07-01-02-04</t>
  </si>
  <si>
    <t>P-07-01-02-05</t>
  </si>
  <si>
    <t>R-06-01-03</t>
  </si>
  <si>
    <t>P-10-02-04-02</t>
  </si>
  <si>
    <t>P-04-02-01-01</t>
  </si>
  <si>
    <t>50</t>
  </si>
  <si>
    <t>P-06-01-03-05</t>
  </si>
  <si>
    <t>14</t>
  </si>
  <si>
    <t>15</t>
  </si>
  <si>
    <t>Atliktų šildymo punktų atnaujinimo darbų (II, III mikr.) apimtis</t>
  </si>
  <si>
    <t>01.01. Uždavinys. Stiprinti ir plėtoti visuomenės sveikatinimo veiklą</t>
  </si>
  <si>
    <t>09 Visagino savivaldybės ekonominės plėtros programa</t>
  </si>
  <si>
    <t>P-06-01-03-03</t>
  </si>
  <si>
    <t>Priimtų tarybos sprendimų skaičius</t>
  </si>
  <si>
    <t>Organizuotų konferencijų verslo skatinimo klausimais skaičius</t>
  </si>
  <si>
    <t>Patikrintų objektų (įmonių, įstaigų, organizacijų, visuomenės informavimo priemonių, neperiodinės spaudos leidinių, reklamos ir viešųjų užrašų ir pan.) skaičius</t>
  </si>
  <si>
    <t>Pateiktų investicinio projekto finansavimo paraiškų skaičius</t>
  </si>
  <si>
    <t>P-06-01-03-07</t>
  </si>
  <si>
    <t>P-06-02-01-06</t>
  </si>
  <si>
    <t>Paremtų smulkaus ir vidutinio verslo įmonių skaičius</t>
  </si>
  <si>
    <t>R-09-01-04</t>
  </si>
  <si>
    <t>kWh</t>
  </si>
  <si>
    <t>Prižiūrimų objektų skaičius</t>
  </si>
  <si>
    <t>P-10-03-02-01</t>
  </si>
  <si>
    <t>Viešosios bibliotekos fondo dydis (knygos)</t>
  </si>
  <si>
    <t>Valstybinių švenčių, reikšmingų datų minėjimų skaičius</t>
  </si>
  <si>
    <t>Valstybinėse šventėse, minėjimuose apsilankiusių žiūrovų skaičius</t>
  </si>
  <si>
    <t>01.03. Uždavinys. Teikti paramą Visagino savivaldybės socialiai jautrių ir pažeidžiamų gyventojų grupėms, užkirsti kelią socialinės rizikos židinių formavimuisi</t>
  </si>
  <si>
    <t>P-10-03-01-02</t>
  </si>
  <si>
    <t>E-03-03</t>
  </si>
  <si>
    <t>E-03-04</t>
  </si>
  <si>
    <t>02.02. Uždavinys.  Atnaujinti Visagino miesto centralizuoto šildymo sistemą</t>
  </si>
  <si>
    <t>P-10-02-02-01</t>
  </si>
  <si>
    <t>Kultūros įstaigų pateiktų projektų į nacionalinius ir ES fondus skaičius</t>
  </si>
  <si>
    <t>P-04-01-01-04</t>
  </si>
  <si>
    <t>Kultūros įstaigų materialinės bazės atnaujinimui skirti asignavimai</t>
  </si>
  <si>
    <t>P-02-01-02-02</t>
  </si>
  <si>
    <t>R-01-01-02</t>
  </si>
  <si>
    <t>Bendrojo naudojimo teritorijų tvarkymo ir sanitarijos darbai</t>
  </si>
  <si>
    <t>taip/ne</t>
  </si>
  <si>
    <t>Archyvinių dokumentų tvarkymas</t>
  </si>
  <si>
    <t>P-09-01-01-01</t>
  </si>
  <si>
    <t>Dalyvauta verslui skatinti skirtuose renginiuose</t>
  </si>
  <si>
    <t>P-09-01-01-02</t>
  </si>
  <si>
    <t>P-09-01-01-03</t>
  </si>
  <si>
    <t>02 tikslas. Kurti palankią aplinką investicijoms</t>
  </si>
  <si>
    <t>01.01. Uždavinys. Mažinti aplinkos užterštumą ir gerinti vandens telkinių, bendro naudojimo ir kitų teritorijų būklę</t>
  </si>
  <si>
    <t>P-02-01-02-07</t>
  </si>
  <si>
    <t>P-02-01-02-08</t>
  </si>
  <si>
    <t>02.01. Uždavinys. Įgyvendinti jaunimo politiką siekiant padėti jauniems žmonėms pasirengti savarankiškam gyvenimui</t>
  </si>
  <si>
    <t>Užregistruotų nusikalstamų veikų skaičiaus mažėjimas</t>
  </si>
  <si>
    <t>R-05-03-02</t>
  </si>
  <si>
    <t>P-07-01-01-04</t>
  </si>
  <si>
    <t>Sveikatingumo renginiuose (seminarai, konferencijos, paskaitos ir pan.) dalyvavusių mokinių skaičius</t>
  </si>
  <si>
    <t>Visagino miesto šaligatvių remonto/rekonstrukcijos darbai (KD)</t>
  </si>
  <si>
    <t>kv. m</t>
  </si>
  <si>
    <t>Finansuojamų biudžetinių įstaigų, teikiančių socialines paslaugas, skaičius</t>
  </si>
  <si>
    <t>01 tikslas. Skatinti smulkaus ir vidutinio verslo kūrimąsi ir plėtojimą, finansiškai remti smulkaus ir vidutinio verslo subjektus</t>
  </si>
  <si>
    <t>R-09-01-01</t>
  </si>
  <si>
    <t>P-06-01-02-05</t>
  </si>
  <si>
    <t>P-06-01-02-06</t>
  </si>
  <si>
    <t>Gyventojų, kurie naudojasi komunalinėmis paslaugomis, dalis nuo visų gyventojų skaičiaus</t>
  </si>
  <si>
    <t>01 tikslas. Efektyviai organizuoti Savivaldybės darbą, tinkamai įgyvendinti jos funkcijas</t>
  </si>
  <si>
    <t>REZULTATO:</t>
  </si>
  <si>
    <t>R-01-01-01</t>
  </si>
  <si>
    <t>vnt.</t>
  </si>
  <si>
    <t>10 Visagino savivaldybės viešosios infrastruktūros plėtros programa</t>
  </si>
  <si>
    <t>P-09-02-02-03</t>
  </si>
  <si>
    <t>Socialinių darbuotojų, jų padėjėjų, pakėlusių kvalifikaciją, skaičius</t>
  </si>
  <si>
    <t>P-06-02-01-03</t>
  </si>
  <si>
    <t>R-07-01-02</t>
  </si>
  <si>
    <t>R-07-01-03</t>
  </si>
  <si>
    <t>Naujai užregistruotų susirgimų (1000 suaugusiųjų/1000 vaikų) skaičius</t>
  </si>
  <si>
    <t>E-02-10</t>
  </si>
  <si>
    <t>1400/2450</t>
  </si>
  <si>
    <t>1390/2400</t>
  </si>
  <si>
    <t>P-10-01-01-05</t>
  </si>
  <si>
    <t>R-09-02-01</t>
  </si>
  <si>
    <t>Registruotų bedarbių dalis nuo darbingo amžiaus gyventojų</t>
  </si>
  <si>
    <t>E-04-03</t>
  </si>
  <si>
    <t>Parengtų Visagino savivaldybės visuomenės sveikatos stebėsenos (monitoringo) ataskaitų ir pasiūlymų dėl gyventojų sveikatos būklės skaičius</t>
  </si>
  <si>
    <t>R-07-01-01</t>
  </si>
  <si>
    <t>R-06-01-02</t>
  </si>
  <si>
    <t>Įgyvendintų priemonių nusikaltimų prevencijos srityje skaičius</t>
  </si>
  <si>
    <t>Vertinimo kriterijus</t>
  </si>
  <si>
    <t>R-03-01-02</t>
  </si>
  <si>
    <t>01 tikslas. Prižiūrėti ir modernizuoti savivaldybės susisiekimo viešąją infrastruktūrą</t>
  </si>
  <si>
    <t>R-10-01-01</t>
  </si>
  <si>
    <t>01.01. Uždavinys. Gerinti keleivių vežimo sąlygas</t>
  </si>
  <si>
    <t>Šeimų, gaunančių kompensacijas už šaltą vandenį, skaičius</t>
  </si>
  <si>
    <t>P-06-01-02-04</t>
  </si>
  <si>
    <t>Savivaldybės finansinių įsipareigojimų vykdymas (draudimų ir kt.)</t>
  </si>
  <si>
    <t>P-01-01-04-03</t>
  </si>
  <si>
    <t>Eur</t>
  </si>
  <si>
    <t>01.01. Uždavinys. Užtikrinti efektyvią kultūros įstaigų veiklą</t>
  </si>
  <si>
    <t>P-09-01-01-08</t>
  </si>
  <si>
    <t>Sveikatinimo renginiuose dalyvavusių asmenų skaičius</t>
  </si>
  <si>
    <t>02.01. Uždavinys. Organizuoti ir koordinuoti vykdomus kultūrinius renginius</t>
  </si>
  <si>
    <t>P-02-01-01-08</t>
  </si>
  <si>
    <t>Valstybinės kalbos mokymo kursuose besimokančių žmonių skaičius (pagal kategorijas)</t>
  </si>
  <si>
    <t>P-02-01-01-09</t>
  </si>
  <si>
    <t>I kategorija</t>
  </si>
  <si>
    <t>03 tikslas. Kurti palankią turizmui aplinką</t>
  </si>
  <si>
    <t>R-09-03-01</t>
  </si>
  <si>
    <t>03.01. Uždavinys. Plėsti turizmo, rekreacijos, poilsio ir paslaugų infrastruktūrą</t>
  </si>
  <si>
    <t>P-06-01-03-06</t>
  </si>
  <si>
    <t>P-09-02-03-04</t>
  </si>
  <si>
    <t>Rekonstruotų pastatų, taikant šiuolaikiškas energiją taupančias technologijas ir pritaikytas parko administravimo veiklos vykdymui, verslo inkubatoriaus įkūrimui, skaičius</t>
  </si>
  <si>
    <t>P-01-02-03-02</t>
  </si>
  <si>
    <t>ES</t>
  </si>
  <si>
    <t>Lėšų, skirtų SVV rėmimui, panaudojimas</t>
  </si>
  <si>
    <t>Sukurtų naujų interneto svetainių apie Visaginą skaičius</t>
  </si>
  <si>
    <t>Rizikos šeimų, gaunančių socialines paslaugas, skaičius</t>
  </si>
  <si>
    <t>ne daugiau 11%</t>
  </si>
  <si>
    <t>Gyventojų informavimo veiklos įgyvendinimas</t>
  </si>
  <si>
    <t>P-01-02-02-02</t>
  </si>
  <si>
    <t>P-01-02-02-03</t>
  </si>
  <si>
    <t>P-07-01-02-02</t>
  </si>
  <si>
    <t>P-01-02-02-01</t>
  </si>
  <si>
    <t>Mažas pajamas turinčių šeimų, gaunančių būsto šildymo išlaidų ir išlaidų karštam vandeniui kompensacijas, skaičius</t>
  </si>
  <si>
    <t>P-06-01-02-03</t>
  </si>
  <si>
    <t>Organizuoti savivaldybės veiklą vadovaujantis šiuolaikiniais vadybos metodais</t>
  </si>
  <si>
    <t>E-04-01</t>
  </si>
  <si>
    <t>Naujai įregistruotų įmonių skaičius</t>
  </si>
  <si>
    <t>E-04-02</t>
  </si>
  <si>
    <t>Priemonių, skatinančių turizmo plėtrą savivaldybėje, skaičius</t>
  </si>
  <si>
    <t>P-09-03-01-02</t>
  </si>
  <si>
    <t>01 tikslas. Racionaliai naudojant lėšas, užtikrinti kultūros įstaigų funkcionalumą ir efektyvų darbą</t>
  </si>
  <si>
    <t>P-02-01-01-12</t>
  </si>
  <si>
    <t>P-02-01-01-13</t>
  </si>
  <si>
    <t>P-01-01-02-02</t>
  </si>
  <si>
    <t>P-01-01-02-03</t>
  </si>
  <si>
    <t>Suteiktų pirminės teisinės pagalbos konsultacijų skaičius</t>
  </si>
  <si>
    <t>P-01-01-02-04</t>
  </si>
  <si>
    <t>P-10-02-04-01</t>
  </si>
  <si>
    <t>Vykdomų projektų, skatinančių socialinių paslaugų plėtrą, skaičius</t>
  </si>
  <si>
    <t>R-06-02-03</t>
  </si>
  <si>
    <t>P-01-01-01-02</t>
  </si>
  <si>
    <t>Renovuotų sporto ir laisvalaikio aikštelių skaičius</t>
  </si>
  <si>
    <t>02.05. Uždavinys. Remontuoti ir prižiūrėti savivaldybės turtą</t>
  </si>
  <si>
    <t>Įsigytų triukšmomačių skaičius</t>
  </si>
  <si>
    <t>01.01. Uždavinys.  Užtikrinti efektyvią biudžetinių įstaigų veiklą</t>
  </si>
  <si>
    <t>P-10-03-01-04</t>
  </si>
  <si>
    <t>Įrengtų viešojo dizaino elementų skaičius</t>
  </si>
  <si>
    <t>P-09-03-01-04</t>
  </si>
  <si>
    <t>R-06-01-04</t>
  </si>
  <si>
    <t>Organizuotų tarptautinių vaizdo konferencijų, svečių vizitų (susitikimų) skaičius</t>
  </si>
  <si>
    <t>Vaikų, kuriems vaikų dienos centre teikiamos socialinės paslaugos, skaičius</t>
  </si>
  <si>
    <t>P-06-02-01-05</t>
  </si>
  <si>
    <t>P-01-01-02-01</t>
  </si>
  <si>
    <t>02 Visagino savivaldybės švietimo paslaugų plėtros programa</t>
  </si>
  <si>
    <t>Socialinių išmokų ir kompensacijų administravimas</t>
  </si>
  <si>
    <t>Bendrųjų ugdymo planų valandų, skirtų papildomajam ugdymui, panaudojimas</t>
  </si>
  <si>
    <t>P-02-01-01-05</t>
  </si>
  <si>
    <t>Remontuotų savivaldybės įstaigų skaičius</t>
  </si>
  <si>
    <t>Mokinių, sėkmingai išlaikiusių mokyklinius ir valstybinius brandos egzaminus, skaičius</t>
  </si>
  <si>
    <t>P-02-01-02-06</t>
  </si>
  <si>
    <t>01 Visagino savivaldybės valdymo tobulinimo programa</t>
  </si>
  <si>
    <t>R-10-02-01</t>
  </si>
  <si>
    <t>R-10-02-02</t>
  </si>
  <si>
    <t>03.01. Uždavinys. Kurti saugią aplinką Visagino savivaldybėje</t>
  </si>
  <si>
    <t>Kvalifikaciją kėlusių darbuotojų dalis nuo visų darbuotojų</t>
  </si>
  <si>
    <t>R-01-02-01</t>
  </si>
  <si>
    <t>Informacinių pranešimų apie savivaldybės veiklą skaičius</t>
  </si>
  <si>
    <t>R-01-02-02</t>
  </si>
  <si>
    <t>01 tikslas. Skatinti savivaldybės gyventojus užsiimti įvairia sportine veikla</t>
  </si>
  <si>
    <t>01.01. Uždavinys.  Skatinti vietos bendruomenių iniciatyvas</t>
  </si>
  <si>
    <t>02 tikslas. Sukurti palankią aplinką jauno žmogaus vertingam gyvenimui ir saviraiškai savivaldybės teritorijoje</t>
  </si>
  <si>
    <t>R-05-03-01</t>
  </si>
  <si>
    <t>P-10-01-01-03</t>
  </si>
  <si>
    <t>01.02. Uždavinys. Prižiūrėti bei tvarkyti (remontuoti) miesto ir savivaldybės susisiekimo viešąją infrastruktūrą</t>
  </si>
  <si>
    <t>100</t>
  </si>
  <si>
    <t>02 tikslas. Prižiūrėti ir modernizuoti savivaldybės viešąją infrastruktūrą</t>
  </si>
  <si>
    <t>Abiturientų, įstojusių į aukštąsias mokyklas, dalis nuo visų abiturientų skaičiaus</t>
  </si>
  <si>
    <t>Socialines paslaugas gavusių asmenų skaičius</t>
  </si>
  <si>
    <t>01.02. Uždavinys. Užtikrinti efektyvų valstybinių (perduotų savivaldybei) ir savarankiškų savivaldybės funkcijų vykdymą</t>
  </si>
  <si>
    <t>E-01-01</t>
  </si>
  <si>
    <t>proc.</t>
  </si>
  <si>
    <t>Vykusių akcijų ekologijos srityje skaičius</t>
  </si>
  <si>
    <t>R-08-01-03</t>
  </si>
  <si>
    <t>02.01. Uždavinys.  Pritraukti ES ir kitų fondų lėšas miesto plėtros projektams įgyvendinti</t>
  </si>
  <si>
    <t>P-09-02-01-01</t>
  </si>
  <si>
    <t>03 Visagino savivaldybės kūno kultūros ir sporto plėtros programa</t>
  </si>
  <si>
    <t>P-10-02-06-01</t>
  </si>
  <si>
    <t>P-01-01-03-02</t>
  </si>
  <si>
    <t>P-09-03-02-01</t>
  </si>
  <si>
    <t>P-09-03-02-02</t>
  </si>
  <si>
    <t>1</t>
  </si>
  <si>
    <t>Integralios pagalbos gavėjų skaičius</t>
  </si>
  <si>
    <t>Įgyvendintų  projektų ir organizuotų renginių skaičius vaikų ir jaunimo socializacijos bei jaunimo politikos srityje</t>
  </si>
  <si>
    <t>E-02-04</t>
  </si>
  <si>
    <t>Įrengtų kolumbariumų skaičius</t>
  </si>
  <si>
    <t>02.02. Uždavinys. Aktyvinti bendruomenę ugdant pilietiškumą, sudarant sąlygas jos nariams dalyvauti konkursuose, vietos ir kitų regionų koncertinėse programose ir mokymuose bei profesionalaus meno renginiuose pagal amžiaus grupes</t>
  </si>
  <si>
    <t>01 tikslas. Kurti saugią, švarią ir sveiką aplinką</t>
  </si>
  <si>
    <t>Lavinamosiose klasėse besiugdančių specialiųjų poreikių mokinių skaičius</t>
  </si>
  <si>
    <t>Mokinių, besiugdančių pagal vidurinio ugdymo programas, skaičius</t>
  </si>
  <si>
    <t>Įregistruotų civilinės būklės aktų skaičius</t>
  </si>
  <si>
    <t>Mokyklų, dalyvaujančių nacionalinio lygmens projektuose partnerio teise, skaičius</t>
  </si>
  <si>
    <t>Suteiktos paramos dalis (dantų protezavimo išlaidų kompensavimas)</t>
  </si>
  <si>
    <t>Parengtų techninių projektų skaičius</t>
  </si>
  <si>
    <t>P-09-03-01-03</t>
  </si>
  <si>
    <t>R-03-01-01</t>
  </si>
  <si>
    <t>Socialinių paslaugų centras</t>
  </si>
  <si>
    <t>P-02-01-01-11</t>
  </si>
  <si>
    <t>02.01. Uždavinys. Užtikrinti efektyvų ir sistemingą savivaldybės administracijos valstybės tarnautojų ir darbuotojų mokymą</t>
  </si>
  <si>
    <t>P-08-01-01-03</t>
  </si>
  <si>
    <t>P-08-01-01-04</t>
  </si>
  <si>
    <t>skaičius</t>
  </si>
  <si>
    <t>Apšiltintų viešųjų pastatų skaičius</t>
  </si>
  <si>
    <t>P-05-03-01-01</t>
  </si>
  <si>
    <t>P-05-03-02-01</t>
  </si>
  <si>
    <t>03 tikslas. Kurti saugią ir patogią gyvenimo aplinką</t>
  </si>
  <si>
    <t>P-09-02-03-01</t>
  </si>
  <si>
    <t>Specialistų, dalyvavusių kvalifikacijos kėlimo kursuose, dalis nuo bendro sporto srities specialistų skaičiaus</t>
  </si>
  <si>
    <t>Sukurtų naujų darbo vietų SVV subjektuose, kuriems buvo suteikta finansinė parama iš SVV plėtros skatinimo priemonės</t>
  </si>
  <si>
    <t>Formaliojo ir neformaliojo ugdymo paslaugas teikiančių įstaigų/organizacijų skaičius</t>
  </si>
  <si>
    <t>Atliktų valdymo tobulinimo analizių skaičius</t>
  </si>
  <si>
    <t>Suremontuotų gatvių (kelių) (su aplinkinės teritorijos sutvarkymo darbais), įgyvendinant investicinius projektus, skaičius</t>
  </si>
  <si>
    <t>Savivaldybės įsipareigojimų vykdymas po projektų įgyvendinimo</t>
  </si>
  <si>
    <t>Įgyvendintų/įgyvendinamų projektų, modernizuojant savivaldybės viešąją infrastruktūrą, skaičius</t>
  </si>
  <si>
    <t>Įgyvendintų projektų skaičius</t>
  </si>
  <si>
    <t>Natūrali gyventojų kaita</t>
  </si>
  <si>
    <t>E-02-08</t>
  </si>
  <si>
    <t>Vienas gyventojas vidutiniškai apsilankė poliklinikose ir ambulatorijose</t>
  </si>
  <si>
    <t>P-03-01-02-03</t>
  </si>
  <si>
    <t>II kategorija</t>
  </si>
  <si>
    <t>III kategorija</t>
  </si>
  <si>
    <t>P-02-01-01-10</t>
  </si>
  <si>
    <t>Į VKC filialo veiklą įtrauktų NVO skaičius</t>
  </si>
  <si>
    <t>P-01-01-02-06</t>
  </si>
  <si>
    <t>Paremtų projektų, skirtų lygioms galimybėms užtikrinti, skaičius</t>
  </si>
  <si>
    <t>P-05-01-01-03</t>
  </si>
  <si>
    <t>P-06-01-03-08</t>
  </si>
  <si>
    <t>Jaunimo teisių apsauga</t>
  </si>
  <si>
    <t>Gyventojų registro tvarkymas ir duomenų teikimas valstybės registrui</t>
  </si>
  <si>
    <t>P-08-01-01-09</t>
  </si>
  <si>
    <t>02.04. Uždavinys. Informuoti visuomenę apie savivaldybės veiklą ir formuoti teigiamą savivaldybės įvaizdį, plėtoti dalykinius santykius ir ryšius su tarptautinėmis ir vietinėmis institucijomis ir organizacijomis</t>
  </si>
  <si>
    <t>6 programa</t>
  </si>
  <si>
    <t>Įvairių renginių (pranešimų, paskaitų, pamokų, diskusijų, konkursų ir kt.) alkoholio, tabako ir narkotikų vartojimo prevencijos klausimais skaičius</t>
  </si>
  <si>
    <t>Organizuotų įvairių renginių (pranešimų, paskaitų, pamokų, diskusijų, konkursų ir kt.) užkrečiamųjų ligų profilaktikos ir asmens higienos klausimais skaičius</t>
  </si>
  <si>
    <t>įmonių skaičius</t>
  </si>
  <si>
    <t>03 strateginis tikslas. Plėtoti savivaldybės inžinerinę, susisiekimo ir rekreacinę infrastruktūrą, kurti palankią gyvenamąją aplinką</t>
  </si>
  <si>
    <t>Išmestų teršalų kiekis į atmosferą iš stacionarių taršos šaltinių</t>
  </si>
  <si>
    <t>Vasaros užimtumo programų dalyvių skaičius</t>
  </si>
  <si>
    <t>P-01-02-01-01</t>
  </si>
  <si>
    <t>darbuotojų skaičius</t>
  </si>
  <si>
    <t>Įgijusių išsilavinimą pagal ugdymo programas mokinių dalis:</t>
  </si>
  <si>
    <t>R-02-01-03</t>
  </si>
  <si>
    <t>- pagal vidurinio ugdymo programą</t>
  </si>
  <si>
    <t>Pateiktų paraiškų projektų finansavimui gauti skaičius</t>
  </si>
  <si>
    <t>P-04-01-01-01</t>
  </si>
  <si>
    <t>R-04-01-01</t>
  </si>
  <si>
    <t>R-04-01-02</t>
  </si>
  <si>
    <t>R-04-01-03</t>
  </si>
  <si>
    <t>Projektų, skirtų neįgaliųjų socialinei reabilitacijai, skaičius</t>
  </si>
  <si>
    <t>P-06-02-01-01</t>
  </si>
  <si>
    <t>5</t>
  </si>
  <si>
    <t>Išvalytų vandens telkinių, kuriuose atliekami vandens kokybės tyrimai, skaičius</t>
  </si>
  <si>
    <t>01.01. Uždavinys. Užtikrinti efektyvią savivaldybės biudžetinių socialinių paslaugų įstaigų veiklą</t>
  </si>
  <si>
    <t>P-02-01-02-01</t>
  </si>
  <si>
    <t>P-02-01-01-06</t>
  </si>
  <si>
    <t>P-02-01-01-07</t>
  </si>
  <si>
    <t>03.02. Uždavinys.  Užtikrinti turizmo informacijos sklaidą, skatinti turizmo plėtrą savivaldybėje</t>
  </si>
  <si>
    <t>P-09-03-02-03</t>
  </si>
  <si>
    <t>Užtikrinta Visagino rekreacijos paslaugų centro filialo „Visagino parkas“ veikla</t>
  </si>
  <si>
    <t>P-09-01-01-09</t>
  </si>
  <si>
    <t>08</t>
  </si>
  <si>
    <t>10</t>
  </si>
  <si>
    <t>P-09-01-01-07</t>
  </si>
  <si>
    <t>R-08-01-04</t>
  </si>
  <si>
    <t>P-01-01-04-02</t>
  </si>
  <si>
    <t>Žemės ūkio funkcijų vykdymas</t>
  </si>
  <si>
    <t>Parengtų techninių dokumentų skaičius</t>
  </si>
  <si>
    <t>Būsto nuomos ir išperkamosios būsto nuomos mokesčių dalies kompensacijų administravimas</t>
  </si>
  <si>
    <t>01.04. Uždavinys. Sudaryti sąlygas iš anksto negalimoms suplanuoti priemonėms vykdyti bei savivaldybės įsipareigojimams įgyvendinti</t>
  </si>
  <si>
    <t>P-03-01-02-02</t>
  </si>
  <si>
    <t>VB</t>
  </si>
  <si>
    <t>P-08-01-01-05</t>
  </si>
  <si>
    <t>02.01. Uždavinys.  Skatinti socialinių paslaugų plėtrą bendruomenėje</t>
  </si>
  <si>
    <t>Asmenų, gavusių globos (rūpybos) išmokas, skaičius</t>
  </si>
  <si>
    <t>P-06-01-02-07</t>
  </si>
  <si>
    <t>Mokinių, gavusių socialinę paramą, skaičius</t>
  </si>
  <si>
    <t>Mokinių, lankančių sporto įstaigą, skaičius</t>
  </si>
  <si>
    <t>P-03-01-01-01</t>
  </si>
  <si>
    <t>01.02. Uždavinys. Plėtoti ir tobulinti sporto varžybas ir sporto sveikatingumo renginius siekiant įtraukti vaikus, jaunimą ir kitas gyventojų grupes į sportinę veiklą, rengti sporto specialistus</t>
  </si>
  <si>
    <t>Įsigytų antrinių žaliavų surinkimo konteinerių skaičius</t>
  </si>
  <si>
    <t>Įrengtų mišrių komunalinių atliekų ir antrinių žaliavų konteinerių aikštelių skaičius</t>
  </si>
  <si>
    <t>R-01-01-04</t>
  </si>
  <si>
    <t>P-04-01-01-02</t>
  </si>
  <si>
    <t>P-10-01-01-04</t>
  </si>
  <si>
    <t>R-09-01-05</t>
  </si>
  <si>
    <t>R-09-01-06</t>
  </si>
  <si>
    <t>SVV subjektų, gavusių negrąžintiną finansinę paramą, skaičius</t>
  </si>
  <si>
    <t>02 tikslas. Užtikrinti ir skatinti socialinių paslaugų teikimą bei plėtrą bendruomenėje</t>
  </si>
  <si>
    <t>R-06-02-01</t>
  </si>
  <si>
    <t>P-09-02-03-02</t>
  </si>
  <si>
    <t>2</t>
  </si>
  <si>
    <t>0</t>
  </si>
  <si>
    <t>Pateiktų projektinių pasiūlymų projektų finansavimui gauti skaičius</t>
  </si>
  <si>
    <t>Įgyvendinamų/įgyvendintų projektų turizmo, rekreacijos, poilsio ir paslaugų srityje skaičius</t>
  </si>
  <si>
    <t>Įrengtų aktyvaus poilsio, sporto ir turizmo traukos objektų skaičius</t>
  </si>
  <si>
    <t>P-09-03-01-01</t>
  </si>
  <si>
    <t>Administracinės naštos mažinimo priemonių plano įgyvendinimas</t>
  </si>
  <si>
    <t>R-04-02-01</t>
  </si>
  <si>
    <t>E-02-01</t>
  </si>
  <si>
    <t>E-02-02</t>
  </si>
  <si>
    <t>E-02-03</t>
  </si>
  <si>
    <t>Vaikų, besiugdančių pagal ikimokyklinio  ugdymo programas, skaičius</t>
  </si>
  <si>
    <t>P-02-01-01-01</t>
  </si>
  <si>
    <t>P-07-01-03-01</t>
  </si>
  <si>
    <t>Kultūros įstaigų skaičius</t>
  </si>
  <si>
    <t>P-02-01-01-14</t>
  </si>
  <si>
    <t>P-02-01-01-15</t>
  </si>
  <si>
    <t>P-02-01-02-03</t>
  </si>
  <si>
    <t>Šalies olimpiadose ir konkursuose prizines vietas laimėjusiųjų mokinių skaičius</t>
  </si>
  <si>
    <t>P-02-01-02-04</t>
  </si>
  <si>
    <t>P-02-01-02-05</t>
  </si>
  <si>
    <t>P-02-01-02-09</t>
  </si>
  <si>
    <t>SVV plėtros skatinimas savivaldybėje</t>
  </si>
  <si>
    <t>Organizuotų ir įvykdytų kelionių dalis nuo pateiktų paraiškų skaičiaus</t>
  </si>
  <si>
    <t>01 tikslas. Užtikrinti ugdymo programų įvairovę, paslaugų prieinamumą ir kokybę</t>
  </si>
  <si>
    <t>R-02-01-01</t>
  </si>
  <si>
    <t>P-01-01-02-05</t>
  </si>
  <si>
    <t>P-10-02-05-03</t>
  </si>
  <si>
    <t>P-10-02-03-01</t>
  </si>
  <si>
    <t>P-09-02-02-01</t>
  </si>
  <si>
    <t>Virš 0 (teigiamas skaičius)</t>
  </si>
  <si>
    <t>P-04-02-01-02</t>
  </si>
  <si>
    <t>R-05-01-01</t>
  </si>
  <si>
    <t>Prižiūrimos, tvarkomos bendro naudojimo teritorijos</t>
  </si>
  <si>
    <t>01.02. Uždavinys. Organizuoti renginius, turinčius įtakos ugdymo proceso kokybei, skirtus tęstiniam mokymuisi</t>
  </si>
  <si>
    <t>01.03. Uždavinys. Užtikrinti Savivaldybės darbuotojų saugą darbe</t>
  </si>
  <si>
    <t>m</t>
  </si>
  <si>
    <t>Viešosios komunalinių atliekų tvarkymo paslaugos teikimas atliekų turėtojams</t>
  </si>
  <si>
    <t>SB</t>
  </si>
  <si>
    <t>E-03-01</t>
  </si>
  <si>
    <t>tonos (kg 1 gyventojui)</t>
  </si>
  <si>
    <t>Organizuotų mokymų verslininkams skaičius</t>
  </si>
  <si>
    <t>P-09-01-01-06</t>
  </si>
  <si>
    <t>R-05-03-03</t>
  </si>
  <si>
    <t>Savivaldybės vidinės ir tarptautinės migracijos saldo</t>
  </si>
  <si>
    <t>E-02-07</t>
  </si>
  <si>
    <t>2 lentelė</t>
  </si>
  <si>
    <t>Socialinės globos paslaugų gavėjų skaičius socialinių paslaugų įstaigose</t>
  </si>
  <si>
    <t>01.02. Uždavinys. Užtikrinti socialinių išmokų ir kompensacijų mokėjimą</t>
  </si>
  <si>
    <t>P-06-01-02-01</t>
  </si>
  <si>
    <t>Nėščių moterų, gavusių vienkartines išmokas, skaičius</t>
  </si>
  <si>
    <t>P-06-01-02-02</t>
  </si>
  <si>
    <t>Priimtų administracijos direktoriaus įsakymų veiklos klausimais skaičius</t>
  </si>
  <si>
    <t>Organizuotų turto nuomos konkursų skaičius</t>
  </si>
  <si>
    <t>Patvirtintų strateginio planavimo ir veiklos vertinimo dokumentų ir ataskaitų skaičius</t>
  </si>
  <si>
    <t>Surengtų viešųjų pirkimų skaičius</t>
  </si>
  <si>
    <t>Gavusių paramą ūkio subjektų skaičius</t>
  </si>
  <si>
    <t>P-01-01-01-01</t>
  </si>
  <si>
    <t>P-05-03-02-02</t>
  </si>
  <si>
    <t>R-05-03-04</t>
  </si>
  <si>
    <t>01 strateginis tikslas. Gerinti savivaldybės valdymą, formuoti Visagino savivaldybės, kaip modernios, šiuolaikiškai besitvarkančios savivaldybės įvaizdį</t>
  </si>
  <si>
    <t>EFEKTO:</t>
  </si>
  <si>
    <t>Gyventojų, kurie savivaldybės administracijos veiklą vertina palankiai, dalis</t>
  </si>
  <si>
    <t>04 strateginis tikslas. Kurti ekonominę aplinką, palankią pramonei, verslui, turizmui, investicijoms ir žinių ekonomikai plėtoti</t>
  </si>
  <si>
    <t>03 tikslas. Teikti gyventojams kokybiškas komunalines paslaugas, prižiūrėti ir remontuoti objektus, kurti saugią ir patogią gyvenimo aplinką</t>
  </si>
  <si>
    <t>R-10-03-01</t>
  </si>
  <si>
    <t>Renovuotų daugiabučių namų skaičius</t>
  </si>
  <si>
    <t>Remontuojamų savivaldybės biudžetinių įstaigų dalis nuo biudžetinių įstaigų skaičiaus</t>
  </si>
  <si>
    <t>Vertinimo kriterijaus kodas</t>
  </si>
  <si>
    <t>Vykdytojas</t>
  </si>
  <si>
    <t>0.5</t>
  </si>
  <si>
    <t>Įrengtų automobilių stovėjimo aikštelių skaičius</t>
  </si>
  <si>
    <t>R-10-02-06</t>
  </si>
  <si>
    <t>Visagino savivaldybės administracija</t>
  </si>
  <si>
    <t>Mokinių, organizuotai vežiojamų į (iš) mokyklas(os) (iš/į kaimo vietovių), skaičius</t>
  </si>
  <si>
    <t>02.01. Uždavinys. Didinti vaikų ir jaunimo socioedukacinių veiklų, socialiai prasmingo užimtumo, saviraiškos bei švietimo pagalbos įvairovę ir prieinamumą</t>
  </si>
  <si>
    <t>08 Visagino savivaldybės aplinkos apsaugos programa</t>
  </si>
  <si>
    <t>P-03-01-02-07</t>
  </si>
  <si>
    <t>P-03-01-02-08</t>
  </si>
  <si>
    <t>P-10-03-01-03</t>
  </si>
  <si>
    <t>01 tikslas. Gerinti Visagino savivaldybės gyventojų sveikatos priežiūros kokybę, sveikatos priežiūros paslaugų prieinamumą</t>
  </si>
  <si>
    <t>P-08-01-01-01</t>
  </si>
  <si>
    <t>Antrinių žaliavų surinkimas</t>
  </si>
  <si>
    <t>P-08-01-01-02</t>
  </si>
  <si>
    <t>kiekis t</t>
  </si>
  <si>
    <t>Visagino miesto apšvietimo tinkluose suvartojamos elektros energijos kiekis</t>
  </si>
  <si>
    <t>P-06-02-01-04</t>
  </si>
  <si>
    <t>P-01-02-04-02</t>
  </si>
  <si>
    <t>R-09-02-02</t>
  </si>
  <si>
    <t>R-06-01-05</t>
  </si>
  <si>
    <t>R-06-01-06</t>
  </si>
  <si>
    <t>R-10-01-02</t>
  </si>
  <si>
    <t>R-10-02-04</t>
  </si>
  <si>
    <t>P-01-01-04-01</t>
  </si>
  <si>
    <t>01.05. Uždavinys. Vykdyti korupcijos prevencijos darbus</t>
  </si>
  <si>
    <t>P-10-01-01-06</t>
  </si>
  <si>
    <t>Renovuotų/įrengtų dviračių takų ilgis</t>
  </si>
  <si>
    <t>Suaugusiųjų, besimokančių pagal neformaliojo švietimo programas, skaičius</t>
  </si>
  <si>
    <t>Vadovėliams ir mokymo priemonėms įsigyti panaudotų MK lėšų dalis nuo apskaičiuotų pagal MK metodiką</t>
  </si>
  <si>
    <t>Pedagogų kvalifikacijai tobulinti panaudotų MK lėšų dalis nuo apskaičiuotų pagal MK metodiką</t>
  </si>
  <si>
    <t>Kvalifikacijos tobulinimo VŠPT renginiuose dalyvavusių Visagino pedagogų skaičius</t>
  </si>
  <si>
    <t>VŠPT specialistų suteiktų konsultacijų skaičius per metus</t>
  </si>
  <si>
    <t>Mokinių, dalyvavusių šalies ir savivaldybės etapuose patvirtintų olimpiadų, konkursų, varžybų skaičius ir nugalėtojų santykis</t>
  </si>
  <si>
    <t>Atestuotų mokyklų vadovų dalis. Iš jų:</t>
  </si>
  <si>
    <t>- suteikta trečioji vadybinė kategorija</t>
  </si>
  <si>
    <t>- suteikta antroji vadybinė kategorija</t>
  </si>
  <si>
    <t>- suteikta pirmoji vadybinė kategorija</t>
  </si>
  <si>
    <t>Mokyklose dirbančių atestuotų mokytojų ir pagalbos mokiniui specialistų dalis. Iš jų:</t>
  </si>
  <si>
    <t>- suteikta mokytojo kvalifikacinė kategorija</t>
  </si>
  <si>
    <t>- suteikta vyresniojo mokytojo kvalifikacinė kategorija</t>
  </si>
  <si>
    <t>- suteikta metodininko kvalifikacinė kategorija</t>
  </si>
  <si>
    <t>Pagal Mokytojų ir pagalbos mokiniui specialistų (išskyrus psichologus) atestacijos nuostatų  IX skyrių įvykdytų peratestavimų skaičius</t>
  </si>
  <si>
    <t>Mokyklų įgyvendinamų projektų, finansuojamų iš nacionalinių arba tarptautinių fondų, skaičius</t>
  </si>
  <si>
    <t>Nacionalinių ir ES fondų lėšomis finansuotų ir kultūros įstaigų įgyvendintų projektų skaičius</t>
  </si>
  <si>
    <t>Kultūros įstaigų darbuotojų, kėlusių kvalifikaciją, dalis</t>
  </si>
  <si>
    <t>R-04-01-04</t>
  </si>
  <si>
    <t>VKC gautos lėšos už parduotus bilietus į renginius</t>
  </si>
  <si>
    <t>02.03. Uždavinys. Atnaujinti (rekonstruoti) Visagino viešuosius, ūkinius pastatus</t>
  </si>
  <si>
    <t>planas</t>
  </si>
  <si>
    <t>P-05-02-01-01</t>
  </si>
  <si>
    <t>Pirminė teisinė pagalba</t>
  </si>
  <si>
    <t xml:space="preserve">Vaikų, gaunančių vienkartines ir pastovias išmokas, skaičius </t>
  </si>
  <si>
    <t>Neįgaliesiems pritaikytų būstų procentas nuo esamo poreikio (paraiškų)</t>
  </si>
  <si>
    <t>P-06-01-03-04</t>
  </si>
  <si>
    <t>Išmokų gavėjų skaičius</t>
  </si>
  <si>
    <t>Organizacijų, kurių veikloje dalyvaujama, skaičius</t>
  </si>
  <si>
    <t>R-09-01-02</t>
  </si>
  <si>
    <t xml:space="preserve">Reprezentacinės išlaidos </t>
  </si>
  <si>
    <t>LSA nario mokestis</t>
  </si>
  <si>
    <t>Gerinti visuomenei teikiamų paslaugų kokybę, didinant jų atitiktį visuomenės poreikiams</t>
  </si>
  <si>
    <t>Aptarnautų gyvenamosios vietos deklaravimo klausimais asmenų skaičius</t>
  </si>
  <si>
    <t>Užregistruotų skundų lygių galimybių pažeidimo srityje skaičius</t>
  </si>
  <si>
    <t>Įdiegtų naujų informacinių technologijų sistemų skaičius</t>
  </si>
  <si>
    <t>R-02-01-02</t>
  </si>
  <si>
    <t>Įgyvendintų socialinių programų skaičius</t>
  </si>
  <si>
    <t>P-06-01-03-01</t>
  </si>
  <si>
    <t>Remiamų studentų skaičius</t>
  </si>
  <si>
    <t>P-01-02-04-03</t>
  </si>
  <si>
    <t>P-10-02-05-01</t>
  </si>
  <si>
    <t>Savivaldybės sporto varžybų ir sveikatingumo renginių dalyvių skaičius</t>
  </si>
  <si>
    <t>Miško teritorijų pavertimas kitomis naudmenomis (detaliųjų planų skaičius)</t>
  </si>
  <si>
    <t>P-09-02-02-04</t>
  </si>
  <si>
    <t>Daugiabučių namų savininkų (bendrijų) rėmimui skirtų lėšų panaudojimas</t>
  </si>
  <si>
    <t>egz.</t>
  </si>
  <si>
    <t>tūkst. Eur</t>
  </si>
  <si>
    <t>12</t>
  </si>
  <si>
    <t>02.03. Uždavinys. Organizuoti savivaldybės veiklą vadovaujantis šiuolaikiniais vadybos metodais</t>
  </si>
  <si>
    <t>P-01-02-03-01</t>
  </si>
  <si>
    <t>Valstybinės kalbos vartojimo  ir taisyklingumo kontrolė</t>
  </si>
  <si>
    <t>Civilinės būklės aktų registravimas</t>
  </si>
  <si>
    <t>P-06-01-01-01</t>
  </si>
  <si>
    <t>Pagerėjęs Visagino savivaldybės indeksas</t>
  </si>
  <si>
    <t>E-01-02</t>
  </si>
  <si>
    <t>taip</t>
  </si>
  <si>
    <t>E-02-09</t>
  </si>
  <si>
    <t>VKC ir VVB organizuotų mėgėjų meno ir pramoginių renginių skaičius</t>
  </si>
  <si>
    <t>VKC ir VVB organizuotų edukacinių renginių skaičius</t>
  </si>
  <si>
    <t>Parengtų (pakoreguotų) teritorijos planavimo dokumentų skaičius</t>
  </si>
  <si>
    <t>P-09-02-02-02</t>
  </si>
  <si>
    <t>ne daugiau 12 %</t>
  </si>
  <si>
    <t>R-09-01-03</t>
  </si>
  <si>
    <t>P-05-01-01-01</t>
  </si>
  <si>
    <t>R-05-02-01</t>
  </si>
  <si>
    <t>R-05-02-02</t>
  </si>
  <si>
    <t xml:space="preserve">Socialinės paramos mokiniams administravimas </t>
  </si>
  <si>
    <t>Tarptautinio bendradarbiavimo plėtra</t>
  </si>
  <si>
    <t xml:space="preserve">2019 m. </t>
  </si>
  <si>
    <t xml:space="preserve">2020 m. </t>
  </si>
  <si>
    <t>Pateiktų audito išvadų ir ataskaitų skaičius</t>
  </si>
  <si>
    <t>Visagino savivaldybės užimtumo didinimo programos administravimo lėšų panaudojimas</t>
  </si>
  <si>
    <t>Asmenų, dalyvavusių užimtumo didinimo programoje, skaičius</t>
  </si>
  <si>
    <t>Viešojo aukciono būdu parduotų objektų skaičius</t>
  </si>
  <si>
    <t>Panaudotos administracijos direktoriaus rezervo lėšos esant poreikiui</t>
  </si>
  <si>
    <t>Įvykdytų ir visų planuotų vykdyti programos priemonių santykis</t>
  </si>
  <si>
    <t>Mokymuose korupcijos prevencijos srityje dalyvavusių asmenų skaičius</t>
  </si>
  <si>
    <t>Pasirašytų tarptautinio bendradarbaivimo sutarčių skaičius</t>
  </si>
  <si>
    <t>R-01-02-03</t>
  </si>
  <si>
    <t>Darbuotojų, kėlusių savo kvalifikaciją, skaičius</t>
  </si>
  <si>
    <t>02.02. Uždavinys. Gerinti visuomenei teikiamų paslaugų kokybę, didinant jų atitiktį visuomenės poreikiams</t>
  </si>
  <si>
    <t xml:space="preserve">Įvykdytų (įgyvendinamų) ir planuotų vykdyti administracinės naštos mažinimo plano priemonių santykis </t>
  </si>
  <si>
    <t>Savivaldybės veiklos viešinimo veiklų (vietinės televizijos laidų, informacinių leidinių) skaičius:</t>
  </si>
  <si>
    <t>* tiesioginių televizijos laidų skaičius</t>
  </si>
  <si>
    <t>* interneto svetainių, kuriose skelbiama informacija apie savivaldybės veiklą, skaičius</t>
  </si>
  <si>
    <t>* leidinio „V každyj dom“ numerių skaičius (per metus)</t>
  </si>
  <si>
    <t>Gyventojų, dalyvaujančių sporto ir sveikatingumo renginiuose, dalis nuo savivavaldybės gyventojų skaičiaus</t>
  </si>
  <si>
    <t>mažiau nei 1230</t>
  </si>
  <si>
    <t>Mokinių, sėkmingai išlaikiusių mokyklinius ir valstybinius brandos egzaminus, dalis nuo bendro laikiusiųjų mokyklinius ir valstybinius brandos egzaminus mokinių skaičiaus</t>
  </si>
  <si>
    <t>- suteikta eksperto kvalifikacinė klasė</t>
  </si>
  <si>
    <t>Mokinių, dalyvavusių socializacijos projektuose, dalis nuo bendro mokinių skaičiaus</t>
  </si>
  <si>
    <t>Įgyvendintų socializacijos projektų skaičius</t>
  </si>
  <si>
    <t>Savivaldybėje organizuotų sporto renginių skaičius</t>
  </si>
  <si>
    <t>Bendrakomandinė prizinė vieta tarp savivaldybių</t>
  </si>
  <si>
    <t>Organizuotų sporto renginių neįgaliesiems skaičius</t>
  </si>
  <si>
    <t>Dalyvavusių sporto renginiuose neįgaliems skaičius</t>
  </si>
  <si>
    <t>Klientų, besinaudojančių mokamomis Visagino rekreacijos paslaugų centro paslaugomis, skaičius</t>
  </si>
  <si>
    <t>Įstaigose organizuotų kultūros renginių skaičius</t>
  </si>
  <si>
    <t>Registruotų vartotojų skaičius (VVB)</t>
  </si>
  <si>
    <t>Mėgėjų meno kolektyvų, studijų dalyvių skaičius (VKC)</t>
  </si>
  <si>
    <t>02 tikslas. Įgyvendinti valstybinę kultūros politiką per kultūrinius renginius, valstybei, tautai, savivaldybei reikšmingų sukakčių ir datų minėjimus, įtraukiant į jos vyksmą kuo platesnę bendruomenės dalį</t>
  </si>
  <si>
    <t>VKC ir VVB organizuotų profesionalaus meno parodų skačius</t>
  </si>
  <si>
    <t>01 tikslas. Įgyvendinti bendruomenės iniciatyvas, užtikrinti gyvenamosios vietovės bendruomenės išrinktų atstovų – seniūnaičių efektyvų darbą</t>
  </si>
  <si>
    <t>Organizuotų mokymų jaunimo organizacijų ir mokinių tarybų nariams ir dalyvių skaičius</t>
  </si>
  <si>
    <t>Mokymuose (seminaruose), kt. priemonėse dalyvavusių jaunimo tarybos narių skaičius</t>
  </si>
  <si>
    <t>Gavusių paramą ūkio subjektų dalis nuo visų besikreipiančių paramos dėl daugiabučių namų savininkų (bendrijų) rėmimo</t>
  </si>
  <si>
    <t>Įsteigtų naujų bendrijų skaičius</t>
  </si>
  <si>
    <t>Organizuota renginių gyventojų švietimo priešgaisrinės saugos klausimais</t>
  </si>
  <si>
    <t>P-05-03-01-03</t>
  </si>
  <si>
    <t>03.02. Uždavinys. Remti daugiabučių namų savininkus (bendrijas)</t>
  </si>
  <si>
    <t>Įgyvendintų energiją taupančių priemonių, namų techninių defektų, kurie kelia grėsmę namo ar atskirų jo konstrukcijų stabilumui ir (ar) žmonių saugumui, pašalinimo (remonto) darbų, skaičius</t>
  </si>
  <si>
    <t>Rizikos šeimų vaikų, gaunančių socialines paslaugas, skaičius</t>
  </si>
  <si>
    <t>Vaikų, gaunančių vienkartines ir pastovias išmokas, skaičius</t>
  </si>
  <si>
    <t>Asmenų, gavusių socialines pašalpas, skaičius</t>
  </si>
  <si>
    <t>Neįgaliesiems pritaikytų būstų dalis nuo esamo poreikio (paraiškų)</t>
  </si>
  <si>
    <t>Globojančių vaikus šeimų, gavusių paramą, skaičius</t>
  </si>
  <si>
    <t>Socialinių būstų, kuriuose atliktas remontas, skaičius</t>
  </si>
  <si>
    <t>Bendrabučio tipo pastato, esančios Kosmoso g. 28, Visagine, patalpos pritaikytos socialinam būstui įrengti (naujai įrengtų socialinių būstų skaičius)</t>
  </si>
  <si>
    <t>Įkurtų Savarankiško gyvenimo namų Visagine skaičius</t>
  </si>
  <si>
    <t>Vaiko teisių pažeidimų prevencijos įgyvendinimo priemonių skaičius</t>
  </si>
  <si>
    <t>Įsteigtas Visagino savivaldybės visuomenės sveikatos biuras</t>
  </si>
  <si>
    <t>Organizuotų įvairių visuomenės sveikatingumo stiprinimo skatinimo renginių skaičius</t>
  </si>
  <si>
    <t>Suteiktų konsultacijų skaičius (teikia visuomenės sveikatos biuras)</t>
  </si>
  <si>
    <t>Mokinių iki 18 metų, pateikusių profilaktinio sveikatos patikrinimo pažymą, dalis</t>
  </si>
  <si>
    <t>Įgyvendinta projektų vaikų sveikos gyvensenos skatinimo srityje</t>
  </si>
  <si>
    <t>P-07-01-02-06</t>
  </si>
  <si>
    <t>Asmenų, dalyvaujančių darbo saugos mokymose, skaičius</t>
  </si>
  <si>
    <t>Organizuotas privalamasis darbuotojų sveikatos tikrinimas (Visagino savivaldybės administracijoje), darbuotojų skaičius</t>
  </si>
  <si>
    <t>Darbo vietų, kurioms atliktas rizikos vertinimas, skaičius</t>
  </si>
  <si>
    <t>ne daugiau kaip 550 tonų (ne daugiau kaip 28 kg vienam gyventojui)</t>
  </si>
  <si>
    <t>Kelių eismo įvykių skaičiaus mažėjimas, palyginti su ankstesniais metais</t>
  </si>
  <si>
    <t>Įgyvendintų/įgyvendinamų investicinių projektų, finansuojamų iš ES ir kitų fondų paramos, skaičius</t>
  </si>
  <si>
    <t>Išduotų leidimų kirsti, pertvarkyti ar genėti skaičius</t>
  </si>
  <si>
    <t>Panaudotos lėšos už paviršinių nuotekų nuotakyno sistemos tvarkymą</t>
  </si>
  <si>
    <t>Verslumo lygis (veikiančių SVV įmonių skaičius, tenkantis 1000 gyventojų)</t>
  </si>
  <si>
    <t xml:space="preserve">Gavusių paramą ūkio subjektų dalis nuo visų besikreipiančių paramos iš SVV plėtros skatinimo priemonės </t>
  </si>
  <si>
    <t>Priimtų naujai inkubuojamų įmonių skaičius (VšĮ Ignalinos atominės elektrinės regiono verslo ir turizmo informacijos centras)</t>
  </si>
  <si>
    <t>01.01. Uždavinys. Sudaryti kuo palankesnes sąlygas pradėti ir plėtoti verslą, skatinti jaunimo verslumą bei didinti gyventojų užimtumą</t>
  </si>
  <si>
    <t>Suteiktų konsultacijų (VšĮ Ignalinos atominės elektrinės regiono verslo ir turizmo informacijos centras) valandų skaičius</t>
  </si>
  <si>
    <t>Organizuotų renginių jaunimo verslumui skatinti skaičius</t>
  </si>
  <si>
    <t>Įgyvendintų gyventojų užimtumo programų skaičius</t>
  </si>
  <si>
    <t>Materialinės investicijos, tenkančios vienam gyventojui</t>
  </si>
  <si>
    <t>Materialinės investicijos to meto kainomis, tenkančios Visagino savivaldybei</t>
  </si>
  <si>
    <t>Parengtų investicinių projektų ir kitų būtinų dokumentų projektų finansavimui gauti skaičius</t>
  </si>
  <si>
    <t>02.02. Uždavinys. Kurti aplinką, kuri sąlygotų investicijų pritraukimą</t>
  </si>
  <si>
    <t>Parengtų žemės sklypų planų ir/ar kadastrinių matavimų skaičius</t>
  </si>
  <si>
    <t>Investuotojų poreikiams pritaikytų programų santykis proc. nuo visų vykdomų programų (Visagino technologijos ir verslo profesinio mokymo centras)</t>
  </si>
  <si>
    <t>02.03. Uždavinys. Sudaryti sąlygas sukurti darbo vietas aukštos pridėtinės vertės (inovatyviai) pramonei ir verslui vystyti Visagine, plėtojant jį kaip šalies Energetikos kompetencijų centrą</t>
  </si>
  <si>
    <t>Dalyvauta turizmui vystyti skirtuose renginiuose, skaičius</t>
  </si>
  <si>
    <t>Pateiktų paraiškų susisiekimo infrastruktūros rekonstrukcijos finansavimui gauti skaičius</t>
  </si>
  <si>
    <t>Vietinio reguliaraus susisiekimo maršrutuose transporto lengvatomis pasinaudojusių keleivių skaičius</t>
  </si>
  <si>
    <t>Mokinių, kuriems padengtos kelionės (bilietų) išlaidos į (iš) mokyklas(os), skaičius</t>
  </si>
  <si>
    <t>Visagino miesto pravažiuojamųjų kelių paprastojo remonto darbai (KD)</t>
  </si>
  <si>
    <t>Rekonstruotos paviršinių (lietaus) nuotekų nuotakyno dalies (kolektoriaus) ilgis (724 m), Visagino g. atkarpos rekonstrukcija</t>
  </si>
  <si>
    <t>Įrengtų elektromobilių greitojo įkrovimo prieigų skaičius</t>
  </si>
  <si>
    <t>Visagino miesto centralizuoto šildymo sistema pertvarkyta į uždarąją</t>
  </si>
  <si>
    <t>Panaudotos Valstybės investicijų programos vykdomų projektų lėšos (10 programoje)</t>
  </si>
  <si>
    <t>Įgyvendintų darnaus judumo Visagino mieste plano priemonių skaičius</t>
  </si>
  <si>
    <t>Vykdomų Valstybės investicijų programos projektų skaičius (10 programoje)</t>
  </si>
  <si>
    <t>02.04. Uždavinys. Renovuoti ir įrengti dviračių ir pėsčiųjų takus, automobilių stovėjimo, sporto ir laisvalaikio aikšteles</t>
  </si>
  <si>
    <t>02.06. Uždavinys. Vykdyti Visagino miesto energinio efektyvumo didinimo daugiabučiuose namuose programą „Visagino enervizija“</t>
  </si>
  <si>
    <t>Pėsčiųjų perėjų, kuriose įrengtas kryptinis apšvietimas, skaičius</t>
  </si>
  <si>
    <t>Naujų objektų, sukurtų projektų įgyvendinimo metu, prijungtų prie AB ESO elektros skirstomųjų tinklų, skaičius</t>
  </si>
  <si>
    <t>P-10-03-01-05</t>
  </si>
  <si>
    <t>01.01. Uždavinys.  Sudaryti sąlygas ugdyti vaikus ikimokyklinėse, bendrojo lavinimo ir neformalaus švietimo įstaigose pagal patvirtintas ugdymo programas, teikti pedagoginę, psichologinę, metodinę, aprūpinimo transportu ir kitą pagalbą mokiniams, mokytojams ir mokykloms</t>
  </si>
  <si>
    <t>VISAGINO SAVIVALDYBĖS 2019-2021 M. STRATEGINIO VEIKLOS PLANO VERTINIMO KRITERIJŲ SUVESTINĖ</t>
  </si>
  <si>
    <t xml:space="preserve">2021 m. </t>
  </si>
  <si>
    <t>Informuoti visuomenę apie savivaldybės veiklą ir formuoti teigiamą savivaldybės įvaizdį, plėtoti dalykinius santykius ir ryšius su tarptautinėmis ir vietinėmis institucijomis ir organizacijomis</t>
  </si>
  <si>
    <t>Strateginio planavimo proceso savivaldybėje organizavimas</t>
  </si>
  <si>
    <t>Savivaldybės erdvinių duomenų rinkinio tvarkymo funkcijos atlikimas</t>
  </si>
  <si>
    <t>Viešojo aukciono būdu parduodamų objektų dokumentų parengimo išlaidos</t>
  </si>
  <si>
    <t>Projekto „Gerinti sąlygas ugdyti fiziškai aktyvią visuomenę, remontuojant, atnaujinant (modernizuojant) ir (arba) rekonstruojant esamų sporto bazių infrastruktūrą Visagino savivaldybėje" įgyvendinimas</t>
  </si>
  <si>
    <t xml:space="preserve">Korupcijos prevencijos darbams bei antikorupciniam visuomenės švietimui </t>
  </si>
  <si>
    <t>Automobilių stovėjimo aikštelių viešosiose teritorijose įrengimas</t>
  </si>
  <si>
    <t>Nekilnojamojo turto kadastriniams matavimams, turto vertinimui bei teisinei registracijai atlikti</t>
  </si>
  <si>
    <t>Duomenų teikimas Suteiktos valstybės pagalbos ir nereikšmingos pagalbos registrui</t>
  </si>
  <si>
    <t>Gyvenamosios vietos deklaravimo duomenų ir gyvenamosios vietos nedeklaravusių asmenų apskaitos duomenų tvarkymas</t>
  </si>
  <si>
    <t>Socialinėms paslaugoms (socialinei globai asmenims su sunkia negalia) administruoti</t>
  </si>
  <si>
    <t>Koordinuotai teikiamų paslaugų vaikams nuo gimimo iki 18 metų (turintiems didelių ir labai didelių specialiųjų ugdymosi poreikių – iki 21 metų) ir vaiko atstovams koordinavimas</t>
  </si>
  <si>
    <t>Savivaldybės nekilnojamojo turto išlaikymas ir administravimas</t>
  </si>
  <si>
    <t>Planuoti ir grąžinti dotaciją, skirtą savivaldybės biudžetui</t>
  </si>
  <si>
    <t>KT</t>
  </si>
  <si>
    <t>Asmens duomenų apsaugos, civilinės atsakomybės funkcijų vykdymas</t>
  </si>
  <si>
    <t>Paskolų grąžinimas, palūkanų ir banko paslaugų mokėjimas</t>
  </si>
  <si>
    <t>Dalyvauti rengiant ir vykdant mobilizaciją, demobilizaciją, priimančiosios šalies paramą</t>
  </si>
  <si>
    <t>II SKYRIUS</t>
  </si>
  <si>
    <t>SSPP tikslai ir uždaviniai</t>
  </si>
  <si>
    <t>Stebėsenos rodiklis (matavimo vnt.)</t>
  </si>
  <si>
    <t>Siektinos stebėsenos rodiklio reikšmės</t>
  </si>
  <si>
    <t>Eil. Nr.</t>
  </si>
  <si>
    <t>Programos kodas ir pavadinimas</t>
  </si>
  <si>
    <t>1. Savivaldybės biudžetas (įskaitant skolintas lėšas)</t>
  </si>
  <si>
    <t>Iš jo:</t>
  </si>
  <si>
    <t>1.2. Lietuvos Respublikos valstybės biudžeto dotacijos</t>
  </si>
  <si>
    <t>1.3. Pajamų įmokos ir kitos pajamos</t>
  </si>
  <si>
    <t>1.5. Skolintos lėšos</t>
  </si>
  <si>
    <t>1.6. Ankstesnių metų likučiai</t>
  </si>
  <si>
    <t>2. Kiti šaltiniai (Europos Sąjungos finansinė parama projektams įgyvendinti ir kitos teisėtai gautos lėšos, nurodant atskirus šaltinius)</t>
  </si>
  <si>
    <t>Asignavimų ir kitų lėšų pokytis, palyginti su ankstesnių metų patvirtintų asignavimų ir kitų lėšų planu</t>
  </si>
  <si>
    <t>Programos uždavinio, priemonės kodas ir požymis</t>
  </si>
  <si>
    <t>Stebėsenos rodiklio kodas</t>
  </si>
  <si>
    <t>Siektinos stebėsenos rodiklių reikšmės</t>
  </si>
  <si>
    <t>Savivaldybės strateginio plėtros plano rodiklis</t>
  </si>
  <si>
    <t>Rodiklio pavadinimas, matavimo vnt.</t>
  </si>
  <si>
    <t>Planuojamos rodiklių reikšmės</t>
  </si>
  <si>
    <t>1.</t>
  </si>
  <si>
    <t>Ugdytinių skaičius</t>
  </si>
  <si>
    <t>Priemonių įgyvendinimas pagal planuotus terminus, proc.</t>
  </si>
  <si>
    <t>Patvirtinta startegija</t>
  </si>
  <si>
    <t>2023 m. priemonės įgyvendintos 100 proc.</t>
  </si>
  <si>
    <t>Dalyvavusių ugdytinių skaičius</t>
  </si>
  <si>
    <t>Sporto šakų skaičius</t>
  </si>
  <si>
    <t>Finansuotų ir įgyvendintų programų skaičius</t>
  </si>
  <si>
    <t>Finansuotų ir įgyvendintų projektų (VB, ES fondų, programų lėšomis) skaičius</t>
  </si>
  <si>
    <t>Pritrauktų lėšų procentinis santykis su SB skiriamais asignavimais</t>
  </si>
  <si>
    <t>7 proc.</t>
  </si>
  <si>
    <t>8 proc.</t>
  </si>
  <si>
    <t>9 proc.</t>
  </si>
  <si>
    <t>Už teikiamas paslaugas gautų lėšų procentinis santykis su SB skiriamais asignavimais</t>
  </si>
  <si>
    <t>5 proc.</t>
  </si>
  <si>
    <t>Pradėtų teikti naujų mokamų paslaugų skaičius</t>
  </si>
  <si>
    <t>Sukurtos svetainės struktūra ir turinys atitinka reikalavimus proc.</t>
  </si>
  <si>
    <t>90 proc.</t>
  </si>
  <si>
    <t>100 proc.</t>
  </si>
  <si>
    <t>Parengtų ir paskelbtų informacinių pranešimų, straipsnių interneto svetainėje skaičius</t>
  </si>
  <si>
    <t>Renginių skaičius</t>
  </si>
  <si>
    <t>Įgyvendintų iniciatyvų skaičius</t>
  </si>
  <si>
    <t xml:space="preserve">0 proc. </t>
  </si>
  <si>
    <t xml:space="preserve">5 proc. </t>
  </si>
  <si>
    <t xml:space="preserve">15 proc. </t>
  </si>
  <si>
    <t xml:space="preserve">22 proc. </t>
  </si>
  <si>
    <t xml:space="preserve">70 proc. </t>
  </si>
  <si>
    <t xml:space="preserve">100 proc. </t>
  </si>
  <si>
    <t>Komandų skaičius</t>
  </si>
  <si>
    <t>≥50</t>
  </si>
  <si>
    <t>Patvirtinta strategija</t>
  </si>
  <si>
    <t>Pateiktų projektų (VB, ES fondų, programų lėšomis) skaičius</t>
  </si>
  <si>
    <t xml:space="preserve">20 proc. </t>
  </si>
  <si>
    <t xml:space="preserve">Veiklose dalyvavusių oficialiai JRD registruotų savanorių skaičius, vnt. </t>
  </si>
  <si>
    <t>3 proc.</t>
  </si>
  <si>
    <t>0,5 proc.</t>
  </si>
  <si>
    <t>1 proc.</t>
  </si>
  <si>
    <t>Organizuotų renginių skaičius</t>
  </si>
  <si>
    <t>VšĮ Visagino ekonomikos plėtros agentūra</t>
  </si>
  <si>
    <t>1.1.</t>
  </si>
  <si>
    <t>1.2.</t>
  </si>
  <si>
    <t>10000 Eur</t>
  </si>
  <si>
    <t>Naujų gydytojų pritraukimas ir įdarbinimas ne mažiau nei 1 gydytoją per metus</t>
  </si>
  <si>
    <t>2024 metai</t>
  </si>
  <si>
    <t>2025 metai</t>
  </si>
  <si>
    <t>Šilumos tiekimo tinklų rekonstravimas, tinklų ilgis km</t>
  </si>
  <si>
    <t>Biokuro vandens šildymo katilo kuro padavimo transporterio remontas, vnt.</t>
  </si>
  <si>
    <t>Geriamojo vandens tiekimo tinklų rekonstravimas, tinklų ilgis km</t>
  </si>
  <si>
    <t>Įrangos ir įrankių įsigijimas Vandenvietės ir valymo įrangos baro veiklai užtikrinti, kompl.</t>
  </si>
  <si>
    <t>Nuotekų surinkimo tinklų rekonstravimas, tinklų ilgis km</t>
  </si>
  <si>
    <t>Nuotekų ir paviršinio vandens tyrimų laboratorijos akreditavimas, vnt.</t>
  </si>
  <si>
    <t>Apskaitos prietaisų su nuotoliniu duomenų nuskaitymu sistemų įrengimas, daugiabučių namų skaičius (vnt.)</t>
  </si>
  <si>
    <t>Dalyvavusių mokymuose darbuotojų skaičius, asm.</t>
  </si>
  <si>
    <t>2.</t>
  </si>
  <si>
    <t>3.</t>
  </si>
  <si>
    <t>5.</t>
  </si>
  <si>
    <t>6.</t>
  </si>
  <si>
    <t>7.</t>
  </si>
  <si>
    <t>8.</t>
  </si>
  <si>
    <t>Priemonė</t>
  </si>
  <si>
    <t>Įvykdymo terminas</t>
  </si>
  <si>
    <t>Vidaus administravimo ir informacinių technologijų skyrius</t>
  </si>
  <si>
    <t xml:space="preserve">Įdiegta informacinė kapinių skaitmeninimo sistema </t>
  </si>
  <si>
    <t>Skatinti asmenis ar ūkio subjektus naudotis el. paslaugomis savivaldybės interneto svetainėje</t>
  </si>
  <si>
    <t xml:space="preserve">Kartą per ketvirtį  </t>
  </si>
  <si>
    <t xml:space="preserve">Savivaldybės administracijos skyriai </t>
  </si>
  <si>
    <t>Paskelbta informacija svetainėje, FB paskyroje</t>
  </si>
  <si>
    <t xml:space="preserve">4. </t>
  </si>
  <si>
    <t>Teisės aktai peržiūrimi pagal poreikį (arba pasikeitus teisiniam reglamentavimui)</t>
  </si>
  <si>
    <t>Kartą per pusmetį teikti informaciją apie Administracinės naštos mažinimo plano priemonių įgyvendinimą Centralizuotam savivaldybės vidaus audito skyriui</t>
  </si>
  <si>
    <t>Visi savivaldybės administracijos skyriai ir į padalinius neįeinantys valstybės tarnautojai</t>
  </si>
  <si>
    <t>Kartą per pusmetį, atlikus Administracinės naštos mažinimo priemonių plano vykdymo vertinimą</t>
  </si>
  <si>
    <t>Centralizuotas vidaus audito skyrius</t>
  </si>
  <si>
    <t>Savivaldybės interneto svetainėje paskelbti informaciją apie administracinės naštos mažinimo priemonių vykdymą.</t>
  </si>
  <si>
    <t>Paskelbta informacija svetainėje</t>
  </si>
  <si>
    <t>Nurodyti ir įvertinti praėjusio ataskaitinio laikotarpio administracinės naštos mažinimo priemonių vykdymo rezultatus tarybos veiklos ataskaitoje</t>
  </si>
  <si>
    <t xml:space="preserve">Visagino savivaldybės taryba </t>
  </si>
  <si>
    <t xml:space="preserve">
Sėkmingai plėtoti ir įgyvendinti savivaldos teisę, užtikrinti subalansuotą plėtrą bei kokybiškai vykdyti viešojo administravimo ir viešųjų paslaugų teikimo funkcijas, tenkinant Visagino savivaldybės bendruomenės viešuosius poreikius ir interesus</t>
  </si>
  <si>
    <t>2026 metai</t>
  </si>
  <si>
    <t xml:space="preserve">                             SAVIVALDYBĖS PLĖTROS TIKSLAI, UŽDAVINIAI IR JŲ STEBĖSENOS RODIKLIAI</t>
  </si>
  <si>
    <t>E-1.1-1 Dirbančiųjų skaičius (tūkst. asm.)</t>
  </si>
  <si>
    <t>Siekiama stebėsenos rodiklio reikšmė (2030)</t>
  </si>
  <si>
    <t>Faktinė stebėsenos rodiklio reikšmė (2023)</t>
  </si>
  <si>
    <t>Materialinės investicijos, tenkančios 1-am gyventojui (Eur)</t>
  </si>
  <si>
    <t>Pritraukta naujų tiesioginių užsienio investicijų, tenkančių 1-am gyventojui (Eur)</t>
  </si>
  <si>
    <t>1116 Eur (2020)</t>
  </si>
  <si>
    <t>571 Eur  (2020)</t>
  </si>
  <si>
    <t>Ne mažiau kaip 1200 Eur (2030 )</t>
  </si>
  <si>
    <t>800 Eur (2030 m)</t>
  </si>
  <si>
    <t>Verslumo lygis (veikiančių SVV įmonių skaičius, tenkantis 1000 gyv., koef.)</t>
  </si>
  <si>
    <t>Gyventojų aktyvumas, vykdant individualią veiklą (gyventojų, besiverčiančių veikla pagal individualios veiklos pažymą ir verslo liudijimus, skaičius, tenkantis 1000-iui gyv., koef.)</t>
  </si>
  <si>
    <t>Sukurti ir įgyvendinti verslumo skatinimo programą</t>
  </si>
  <si>
    <t>Bendradarbystės centro „Spiečius“ narių skaičius</t>
  </si>
  <si>
    <t>Ne mažiau kaip 20 (2030)</t>
  </si>
  <si>
    <t>Ne mažiau kaip 5 (2030)</t>
  </si>
  <si>
    <t>1 (2024)</t>
  </si>
  <si>
    <t>100 (2030)</t>
  </si>
  <si>
    <t xml:space="preserve">15,5 (2022) </t>
  </si>
  <si>
    <t>1,52 (2022)</t>
  </si>
  <si>
    <t>0 (2022)</t>
  </si>
  <si>
    <t>15 (2022)</t>
  </si>
  <si>
    <t>Strateginėse verslo kryptyse veikiančių verslo subjektų skaičius</t>
  </si>
  <si>
    <t>1.1.-1</t>
  </si>
  <si>
    <t>8 (2030)</t>
  </si>
  <si>
    <t xml:space="preserve">0 (2022) </t>
  </si>
  <si>
    <t>5 (2030)</t>
  </si>
  <si>
    <t>1.1.-3</t>
  </si>
  <si>
    <t xml:space="preserve">Sukurti tinkamas sąlygas strateginėms verslo kryptims plėtotis Visagino savivaldybėje </t>
  </si>
  <si>
    <t>2 (2022)</t>
  </si>
  <si>
    <t>4 (2030)</t>
  </si>
  <si>
    <t>Nakvynių skaičius apgyvendinimo įstaigose, vnt.</t>
  </si>
  <si>
    <t>506 (2022)</t>
  </si>
  <si>
    <t>700 (2030)</t>
  </si>
  <si>
    <t>1.2.-1</t>
  </si>
  <si>
    <t>Turistų, apsilankiusių VTPC, dalis sezono metu (gegužės–rugpjūčio mėn.), palyginti su bendruoju metiniu turistų skaičiumi (proc.)</t>
  </si>
  <si>
    <t>72 (2022)</t>
  </si>
  <si>
    <t>50 (2030)</t>
  </si>
  <si>
    <t>10 (2030)</t>
  </si>
  <si>
    <t>3 (2030)</t>
  </si>
  <si>
    <t>Suformuotų turistų traukos objektų skaičius (vnt.)</t>
  </si>
  <si>
    <t>1.2.-3</t>
  </si>
  <si>
    <t>Asmenų, dalyvavusių perduodant Visagino daugiataučio kultūros paveldo ir tradicijų per turizmo ir edukacines veiklas, skaičius</t>
  </si>
  <si>
    <t>Visagino savivaldybės bendrojo ugdymo mokyklų tinklo pertvarkos 2022–2026 metų bendrojo plano kokybinių pokyčių / priemonių  įgyvendinimas, proc.</t>
  </si>
  <si>
    <t>2.1.-1</t>
  </si>
  <si>
    <t>Padidinti ugdymo paslaugų prieinamumą ir įtrauktį kuriant naujas ikimokyklinio ugdymo vietas ir efektyviai veikiančių mokyklų infrastruktūrą pritaikant vaikams su negalia bei bendriesiems ugdymo poreikiams gerinti</t>
  </si>
  <si>
    <t>Ikimokyklinio ugdymo įstaigų talpumas (vietų skaičius), vnt.</t>
  </si>
  <si>
    <t>895 (2022)</t>
  </si>
  <si>
    <t>983 (2027)</t>
  </si>
  <si>
    <t>Mokyklų, kuriose buvo įdiegtos universalaus dizaino ir kitos inžinerinės priemonės, aplinką pritaikant asmenims, turintiems negalią, dalis nuo visų mokyklų</t>
  </si>
  <si>
    <t>40 (2023)</t>
  </si>
  <si>
    <t>2.1.-2</t>
  </si>
  <si>
    <t>Plėtoti įvairialypį švietimą vykdant visos dienos mokyklų veiklą</t>
  </si>
  <si>
    <t>Neformaliojo vaikų švietimo galimybėmis pasinaudojusių mokinių dalis (išskyrus ikimokykliniame ir priešmokykliniame ugdyme dalyvaujančius vaikus) (proc.)</t>
  </si>
  <si>
    <t>46,9  (2027)</t>
  </si>
  <si>
    <t>Stiprinti mokyklas įgalinant dirbti su įvairių galių ir gebėjimų mokiniais, kurie mokyklų pedagogų, mokymosi aplinkos padedami ir motyvuojami įveikia barjerus ir pasiekia maksimalų savo individualių galimybių mokymosi rezultatą</t>
  </si>
  <si>
    <t>3  (2030)</t>
  </si>
  <si>
    <t>2.1.-4</t>
  </si>
  <si>
    <t>Skatinti mokinių domėjimąsi gamtos mokslais, matematika, technologijomis ir kt. veiklomis, išbandant save įvairiose praktinėse-tiriamosiose veiklose</t>
  </si>
  <si>
    <t>Pasirašytų bendradarbiavimo sutarčių su verslo atstovais skaičius</t>
  </si>
  <si>
    <t>2.1.-5</t>
  </si>
  <si>
    <t>Skatinti kokybinę kaitą bei lyderystės raišką švietimo įstaigose išbandant / taikant inovatyvius mokymo(si) modelius, aktyviai dalyvaujant projektinėje veikloje</t>
  </si>
  <si>
    <t>1(2022)</t>
  </si>
  <si>
    <t>6 (2030)</t>
  </si>
  <si>
    <t>90 (2030)</t>
  </si>
  <si>
    <t>2.1.-6</t>
  </si>
  <si>
    <t>Siekti, kad visi turėtų lanksčių kvalifikacijos kėlimo ir persikvalifikavimo galimybių, atsižvelgiant į verslumo ir skaitmeninius įgūdžius, geriau numatyti pokyčius ir naujų įgūdžių reikalavimus, grindžiamus darbo rinkos poreikiais, sudaryti palankesnes sąlygas keisti profesinę veiklą ir skatinti profesinį judumą</t>
  </si>
  <si>
    <t>Asmenų, kurie dalyvavę mokymuose įgijo kompetenciją, dalis proc. nuo visų besimokančiųjų VTVPMC</t>
  </si>
  <si>
    <t>98 (2030)</t>
  </si>
  <si>
    <t>80 (2030)</t>
  </si>
  <si>
    <t>30 (2030)</t>
  </si>
  <si>
    <t>Sudaryti sąlygas visų amžiaus grupių ir galimybių visaginiečiams jų sveikai gyvensenai, fiziniam aktyvumui, sportavimui bei siekti, kad tai taptų savivaldybės bendruomenės gyvensenos dalimi</t>
  </si>
  <si>
    <t>Veikiančių atvirų sporto erdvių  skaičius (vnt.)</t>
  </si>
  <si>
    <t>10 (2022)</t>
  </si>
  <si>
    <t>21 (2030)</t>
  </si>
  <si>
    <t>2.2-1</t>
  </si>
  <si>
    <t>Didinti fizinio aktyvumo lygį visose savivaldybės gyventojų amžiaus grupėse, plėsti galimybes bendruomenės fiziniam aktyvumui ir sveikatinimo veikloms</t>
  </si>
  <si>
    <t>Sporto varžybose ir sveikatingumo renginiuose dalyvavusių asmenų  skaičius, vnt. per metus</t>
  </si>
  <si>
    <t>2466 (2021)</t>
  </si>
  <si>
    <t>2.2-2</t>
  </si>
  <si>
    <t>Vykdyti talentingų sportininkų atranką, sudaryti jiems tinkamas sąlygas meistriškumui didinti</t>
  </si>
  <si>
    <t>20 (2022)</t>
  </si>
  <si>
    <t>40 (2030)</t>
  </si>
  <si>
    <t>2.2-3</t>
  </si>
  <si>
    <t>Gerinti sporto ir fizinio aktyvumo specialistų kvalifikaciją ir pritraukti naujus specialistus, kurių kompetencijos reikalingos bendruomenės poreikiams tenkinti, sporto ir fizinio aktyvumo paslaugų plėtrai ir kokybės užtikrinimui</t>
  </si>
  <si>
    <t>Kvalifikaciją patobulinusių sportinio ugdymo specialistų, dirbančių Visagino savivaldybės įstaigose, skaičius (proc.)</t>
  </si>
  <si>
    <t>2.2-4</t>
  </si>
  <si>
    <t>Didinti visuomenės informuotumą apie fizinio aktyvumo naudą ir vykdyti sporto informacijos sklaidą</t>
  </si>
  <si>
    <t>Informacinėmis priemonėmis pasiektų asmenų dalis proc. nuo visų gyventojų</t>
  </si>
  <si>
    <t>2.2-5</t>
  </si>
  <si>
    <t>Plėtoti ir atnaujinti sporto infrastruktūrą, aprūpinti poreikius atitinkančia įranga ir inventoriumi sudarant tinkamas sąlygas bendruomenės fiziniam aktyvumui, aukšto meistriškumo sportininkų rengimui bei varžybų nuo savivaldybės lygmens iki tarptautinių vykdymui</t>
  </si>
  <si>
    <t>Įgyvendinti valstybinę kultūros politiką ir formuoti regioninį identitetą, stiprinti pilietiškumą ir bendruomenės į(si)traukimą į kūrybines, kultūrines veiklas</t>
  </si>
  <si>
    <t>Gyventojų, bent kartą per mėnesį besilankančių viešuose kultūros renginiuose, dalis proc. nuo bendro gyventojų skaičiaus</t>
  </si>
  <si>
    <t>70 (2030)</t>
  </si>
  <si>
    <t>2.3.-1</t>
  </si>
  <si>
    <t>Formuoti Visagino, kaip daugiakultūrio miesto, atviro kultūrinėms inovacijoms ir patrauklaus profesionalaus meno sklaidai, laukiančio svečių, reputaciją</t>
  </si>
  <si>
    <t>Kultūros renginiuose apsilankiusių asmenų skaičius proc. nuo bendro gyventojų skaičiaus</t>
  </si>
  <si>
    <t>0  (2022)</t>
  </si>
  <si>
    <t>80  (2030)</t>
  </si>
  <si>
    <t>2.3.-2</t>
  </si>
  <si>
    <t>Visagino savivaldybėje sukurti palankiausiais regione sąlygas menininkų kūrybai ir kūrybiniams verslams vystytis</t>
  </si>
  <si>
    <t xml:space="preserve">Naujai susikūrusių kūrybinių verslų skaičius </t>
  </si>
  <si>
    <t>2.3.-3</t>
  </si>
  <si>
    <t>Plėtoti / tobulinti pagal kintančius bendruomenės poreikius kultūros infrastruktūrą bei užtikrinti kultūros, laisvalaikio, kūrybos erdvių prieinamumą bendruomenei ir kūrėjams</t>
  </si>
  <si>
    <t xml:space="preserve">Naujai įkurtų erdvių, kuriose skatinamos meniškos ir meninės veiklos, skaičius </t>
  </si>
  <si>
    <t>2.3.-4</t>
  </si>
  <si>
    <t>Sudaryti palaikančias ir motyvuojančias sąlygas etninės kultūros sklaidai, Dainų švenčių tradicijos tęstinumui, senųjų tradicijų, papročių populiarinimui, jų gyvybingumo puoselėjimui</t>
  </si>
  <si>
    <t>Asmenų, dalyvavusių etninės kultūros renginiuose, dalis proc. nuo visų savivaldybės gyventojų</t>
  </si>
  <si>
    <t>2.3.-5</t>
  </si>
  <si>
    <t>Stiprinti įstaigų partnerystę / tinklaveiką, plėtoti projektinę veiklą</t>
  </si>
  <si>
    <t>Asmenų, dalyvavusių kultūros ir švietimo bendradarbiavimo  veiklose, dalis proc. nuo visų savivaldybės gyventojų</t>
  </si>
  <si>
    <t>2.3.-6</t>
  </si>
  <si>
    <t>Ugdyti įvairiakalbę, kritiškai mąstančią Visagino bendruomenę, kurią jungia valstybinė kalba ir pagarba valstybei</t>
  </si>
  <si>
    <t>Gyventojų, dalyvavusių pilietinio ugdymo veiklose, dalis proc. nuo visų savivaldybės gyventojų</t>
  </si>
  <si>
    <t>Stiprinti ir puoselėti gyventojų sveikatą</t>
  </si>
  <si>
    <t>Vidutinė tikėtina gyvenimo trukmė (metais)</t>
  </si>
  <si>
    <t xml:space="preserve">76  (2020 m.)  </t>
  </si>
  <si>
    <t>78,3 (2030)</t>
  </si>
  <si>
    <t>2.4.-1</t>
  </si>
  <si>
    <t>Užtikrinti prieinamas aukštos kokybės sveikatos priežiūros paslaugas</t>
  </si>
  <si>
    <t>187,5 (2021)</t>
  </si>
  <si>
    <t>Mažėjantis</t>
  </si>
  <si>
    <t>2.4.-2</t>
  </si>
  <si>
    <t>Išplėsti su visuomenės sveikatos stiprinimu susijusias paslaugas</t>
  </si>
  <si>
    <t>Ikimokyklinio ir mokyklinio amžiaus vaikai (0–18 m.)</t>
  </si>
  <si>
    <t>50 (2021)</t>
  </si>
  <si>
    <t>12 (2021)</t>
  </si>
  <si>
    <t>0 (2030)</t>
  </si>
  <si>
    <t>Socialines paslaugas gavusių asmenų skaičius proc. nuo bendro gyventojų skaičiaus</t>
  </si>
  <si>
    <t>8 ( 2022)</t>
  </si>
  <si>
    <t>Ne mažiau  kaip  12 (2030)</t>
  </si>
  <si>
    <t>2.5-1</t>
  </si>
  <si>
    <t>Pagerinti  ir plėsti socialinių paslaugų kokybę ir prieinamumą bei sukurti jų plėtrai reikalingą  infrastruktūrą</t>
  </si>
  <si>
    <t>21 proc. (2021)</t>
  </si>
  <si>
    <t>Sudaryti galimybes jaunimui atvykti, dirbti ir gyventi Visagino savivaldybėje</t>
  </si>
  <si>
    <t xml:space="preserve">Jaunimo (14–29 metų amžiaus) dalis nuo bendro Visagino savivaldybės gyventojų skaičiaus (proc.) </t>
  </si>
  <si>
    <t xml:space="preserve">12,94 (2021)  </t>
  </si>
  <si>
    <t>13,5 (2030)</t>
  </si>
  <si>
    <t>2.6-1</t>
  </si>
  <si>
    <t>Pritaikyti viešąsias erdves jaunimo poreikiams</t>
  </si>
  <si>
    <t>Jaunimo poreikiams pritaikytų jaunimo erdvių skaičius (vnt.)</t>
  </si>
  <si>
    <t>2.6-2</t>
  </si>
  <si>
    <t>Sudaryti sąlygas jaunimo savirealizacijai</t>
  </si>
  <si>
    <t>Jaunuolių, turinčių Jaunimo savanoriškos tarnybos (JST) pažymėjimą, skaičius (per metus)</t>
  </si>
  <si>
    <t>4 (2022)</t>
  </si>
  <si>
    <t>Ne mažiau kaip 30 (2030)</t>
  </si>
  <si>
    <t>80 (2022)</t>
  </si>
  <si>
    <t xml:space="preserve">Gyventojų socialinio, pilietinio aktyvumo, dalyvavimo savanoriškoje, visuomeninėje veikloje, tarpusavio pasitikėjimo, bendruomenės socialinės atsakomybės ir įsitraukimo didinimas  </t>
  </si>
  <si>
    <t>2.7.-1</t>
  </si>
  <si>
    <t>Stiprinti nevyriausybines ir bendruomenines organizacijas, gerinti aplinką jų veiklai, remti pilietines iniciatyvas</t>
  </si>
  <si>
    <t xml:space="preserve">Veikiančių nevyriausybinių ir bendruomeninių organizacijų skaičius </t>
  </si>
  <si>
    <t>2.7.-2</t>
  </si>
  <si>
    <t>Įtraukti nevyriausybinį sektorių į viešųjų paslaugų teikimą, tinkamai pasinaudoti iš bendruomenės kylančiomis iniciatyvomis vietos plėtrai</t>
  </si>
  <si>
    <t>Savivaldybės viešųjų paslaugų, kurias teikia nevyriausybinės ir bendruomeninės organizacijos, dalis proc. nuo visų teikiamų paslaugų</t>
  </si>
  <si>
    <t>2.7.-3</t>
  </si>
  <si>
    <t>Sudaryti galimybes bendruomenei įsitraukti ir aktyviai dalyvauti sprendžiant jai aktualius klausimus</t>
  </si>
  <si>
    <t>Tobulinti viešojo valdymo sistemą, didinti jos efektyvumą ir atvirumą</t>
  </si>
  <si>
    <t>Ne mažiau kaip 55 (2030)</t>
  </si>
  <si>
    <t>2.8.-1</t>
  </si>
  <si>
    <t>Gerinti viešojo valdymo institucijų teikiamų paslaugų kokybę, didinti jų prieinamumą ir patrauklumą</t>
  </si>
  <si>
    <t>Gyventojų, per paskutinius 12 mėnesių dalyvavusių sprendžiant viešuosius vietos reikalus, dalis proc.</t>
  </si>
  <si>
    <t>30 (2022)</t>
  </si>
  <si>
    <t>Ne mažiau kaip 70 (2030)</t>
  </si>
  <si>
    <t>2.8.-2</t>
  </si>
  <si>
    <t>Kurti ir plėtoti saugią aplinką Visagino savivaldybėje</t>
  </si>
  <si>
    <t>Parengta ir įgyvendinta  Kompleksinės saugumo stiprinimo ir saugios savivaldybės plėtros programa, vnt.</t>
  </si>
  <si>
    <t xml:space="preserve">1/1 (2030) </t>
  </si>
  <si>
    <t xml:space="preserve">2.8.-3 </t>
  </si>
  <si>
    <t>Sustiprinti teigiamą Visagino savivaldybės  įvaizdį ir komunikaciją</t>
  </si>
  <si>
    <t>Savivaldybės išorinės komunikacijos lygis, auditorijos dydis (medijų paskyrų sekėjai, interneto svetainės naudotojai, naujienlaiškių prenumeratoriai ir kt.)</t>
  </si>
  <si>
    <t>„Facebook“ 3 486 tūkst. (2022)</t>
  </si>
  <si>
    <t>140 t (2022)</t>
  </si>
  <si>
    <t>3.1-1</t>
  </si>
  <si>
    <t>~8000 (2022)</t>
  </si>
  <si>
    <t>~19000 (2030)</t>
  </si>
  <si>
    <t>3.1-2</t>
  </si>
  <si>
    <t>10 (2021)</t>
  </si>
  <si>
    <t>3.1-3</t>
  </si>
  <si>
    <t>Pagerinti viešojo transporto paslaugų teikimą gyventojams</t>
  </si>
  <si>
    <t>Ne mažesnis kaip 2 proc. (2030)</t>
  </si>
  <si>
    <t>Skatinti tvarų miesto teritorijos vystymą</t>
  </si>
  <si>
    <t>Gyventojų skaičiaus metinis pokytis (pagal vidutinį metinį gyventojų skaičių) (proc.)</t>
  </si>
  <si>
    <t>19 707 (2022)</t>
  </si>
  <si>
    <t>Teigiamas, ne mažesnis kaip 1 proc. per metus</t>
  </si>
  <si>
    <t>3.2-1</t>
  </si>
  <si>
    <t>Plėsti, prižiūrėti ir modernizuoti teritorijas, įrengiant reikalingą infrastruktūrą</t>
  </si>
  <si>
    <t>Sutvarkyta / įrengta / atnaujinta teritorijų, ha</t>
  </si>
  <si>
    <t>3.2-2</t>
  </si>
  <si>
    <t xml:space="preserve">Skatinti kokybišką urbanistinį ir teritorijų planavimą  </t>
  </si>
  <si>
    <t>Pagal bendrojo plano sprendinius parengtų žemesnio lygio teritorijų planavimo dokumentų skaičius</t>
  </si>
  <si>
    <t xml:space="preserve">4 (2022) </t>
  </si>
  <si>
    <t>3.2-3</t>
  </si>
  <si>
    <t>Užtikrinti  kultūros paveldo objektų priežiūrą</t>
  </si>
  <si>
    <t xml:space="preserve">Visuomenei atvertų kultūros paveldo objektų skaičius </t>
  </si>
  <si>
    <t>Skatinti žaliąją savivaldybės plėtrą</t>
  </si>
  <si>
    <t>Teršalų, išmestų į aplinkos orą iš stacionarių taršos šaltinių,  tonos</t>
  </si>
  <si>
    <t>606,88 (2021)</t>
  </si>
  <si>
    <t>500 (2030)</t>
  </si>
  <si>
    <t>3.3.-1</t>
  </si>
  <si>
    <t>Užtikrinti tvarų kraštovaizdžio vystymą(si), išsaugant ekosistemas ir prisitaikant prie klimato kaitos</t>
  </si>
  <si>
    <t>21 (2022)</t>
  </si>
  <si>
    <t>Nemažėjantis (2030)</t>
  </si>
  <si>
    <t>3.3.-2</t>
  </si>
  <si>
    <t>Skatinti energijos taupymą, atsinaujinančių ir alternatyvių energijos išteklių naudojimą</t>
  </si>
  <si>
    <t>Atsinaujinančio kuro dalis centrinio šildymo sistemoje (proc.)</t>
  </si>
  <si>
    <t>84 (2022)</t>
  </si>
  <si>
    <t>Savivaldybės įstaigų ir įmonių, įdiegusių atsinaujinančių ir alternatyvių energijos išteklių priemones savo pastatuose, dalis (proc.)</t>
  </si>
  <si>
    <t>Atnaujinta (modernizuota) daugiabučių namų nuo bendro nerenovuotų daugiabučių namų skaičiaus dalis proc.</t>
  </si>
  <si>
    <t>3.3-3</t>
  </si>
  <si>
    <t>Modernizuoti miesto inžinerinę infrastruktūrą laikantis inovatyvumo ir ekologiškumo principų</t>
  </si>
  <si>
    <t>0,279 (2022)</t>
  </si>
  <si>
    <t>Ne mažiau kaip 2,390 (2030)</t>
  </si>
  <si>
    <t>Atnaujinti geriamojo vandens tiekimo tinklai, km</t>
  </si>
  <si>
    <t>0,978 (2022)</t>
  </si>
  <si>
    <t>Ne mažiau kaip 6,353 (2030)</t>
  </si>
  <si>
    <t>Atnaujinti nuotekų surinkimo tinklai, km</t>
  </si>
  <si>
    <t>Ne mažiau kaip 0,230 (2030)</t>
  </si>
  <si>
    <t>Ne mažiau kaip 4 (2030)</t>
  </si>
  <si>
    <t>3.3-4</t>
  </si>
  <si>
    <t>Sąvartynuose šalinamų atliekų dalis, palyginti su bendru komunalinių atliekų srautu (proc.)</t>
  </si>
  <si>
    <t>19,9  (2021)</t>
  </si>
  <si>
    <t>Perdirbta, pakartotinai ar kitaip panaudota (pvz., energijai gauti) dalis, palyginti su visomis surinktomis ir susidariusiomis atliekomis (proc.)</t>
  </si>
  <si>
    <t>62,2 (2021)</t>
  </si>
  <si>
    <t>77,0 (2030)</t>
  </si>
  <si>
    <t>3.3-5</t>
  </si>
  <si>
    <t>Stebimų aplinkos monitoringo objektų (pvz., oras, paviršinis vanduo, maudyklos, dirvožemis, triukšmas ir kt.) skaičius, vnt.</t>
  </si>
  <si>
    <t xml:space="preserve">2.1.-3 </t>
  </si>
  <si>
    <t xml:space="preserve">2.2. </t>
  </si>
  <si>
    <t xml:space="preserve">2.3. </t>
  </si>
  <si>
    <t xml:space="preserve">2.4. </t>
  </si>
  <si>
    <t>2.5.</t>
  </si>
  <si>
    <t xml:space="preserve">2.6. </t>
  </si>
  <si>
    <t>Pilietinės visuomenės ir privačiojo sektoriaus
subjektai, dalyvavę rengiant ir (ar) įgyvendinant miestui svarbių klausimų sprendimus, vnt.</t>
  </si>
  <si>
    <t>2.8.</t>
  </si>
  <si>
    <t xml:space="preserve">3.1. </t>
  </si>
  <si>
    <t>Šiltnamio efektą 
sukeliančių dujų kiekis (tonomis), tenkantis Visagino savivaldybės gyventojams</t>
  </si>
  <si>
    <t xml:space="preserve">Naujo arba modernizuoto 
viešojo transporto naudotojų skaičius per metus </t>
  </si>
  <si>
    <t>Didinti eismo saugumą ir 
gyventojų sąmoningumą darnaus judumo srityje</t>
  </si>
  <si>
    <t xml:space="preserve">3.2. </t>
  </si>
  <si>
    <t>3.3</t>
  </si>
  <si>
    <t xml:space="preserve">Atnaujinti šilumos tinklai, km
</t>
  </si>
  <si>
    <t>Įdiegti žiedinės 
ekonomikos procesus</t>
  </si>
  <si>
    <t>Užtikrinti visapusišką 
aplinkos būklės stebėseną ir taršą ribojančių priemonių taikymą</t>
  </si>
  <si>
    <t>SSPP tikslų
 ir uždavinių 
kodas</t>
  </si>
  <si>
    <t xml:space="preserve"> Pagerinti investicijų pritraukimo ir verslo plėtros sąlygas</t>
  </si>
  <si>
    <t xml:space="preserve">1.1.-2 </t>
  </si>
  <si>
    <t xml:space="preserve"> Skatinti gyventojų verslumą ir ekonominį mobilumą</t>
  </si>
  <si>
    <t xml:space="preserve"> Didinti turistinį savivaldybės patrauklumą, teikiant viešąsias paslaugas bei plėtojant viešąją turizmo infrastruktūrą</t>
  </si>
  <si>
    <t xml:space="preserve"> Skatinti turizmo konkurencingumą, teikiant viešąsias ir verslo paslaugas bei vykdant aktyvią paslaugų rinkodarą</t>
  </si>
  <si>
    <t>1.2.-2</t>
  </si>
  <si>
    <t xml:space="preserve"> Visagino turizmo, gamtos ir kultūros objektų pritaikymas lankymui, modernizuojant viešąją turizmo infrastruktūrą</t>
  </si>
  <si>
    <t>2.1</t>
  </si>
  <si>
    <t xml:space="preserve"> Tikslingai naudojant švietimui skirtas lėšas bei kryptingai tobulinant darbuotojų kompetencijas, kiekvienam besimokančiajam sukurti lygiavertes ir šiuolaikiškas kokybiško ugdymo(si) sąlygas, lemiančias geresnius mokinių pasiekimus, optimalią, integracinę, darniai ir racionaliai veikiančią, nuolat atsinaujinančią savivaldybės švietimo sistemą</t>
  </si>
  <si>
    <t>Interneto svetainės naudotojai 253,7 tūkst./ metus (2020)</t>
  </si>
  <si>
    <t>Interneto svetainės naudotojai 500 tūkst. / metus (2030)</t>
  </si>
  <si>
    <t xml:space="preserve">Pradinė stebėsenos rodiklio reikšmė (2022) </t>
  </si>
  <si>
    <t>2.7.</t>
  </si>
  <si>
    <t>Asignavimų valdytojo kodas</t>
  </si>
  <si>
    <t>Finansavimo šaltinis</t>
  </si>
  <si>
    <t>2025 m. išlaidų projektas, tūkst. Eur</t>
  </si>
  <si>
    <t>SB(ĮP)</t>
  </si>
  <si>
    <t>Iš viso:</t>
  </si>
  <si>
    <t xml:space="preserve">Savivaldybės tarybos darbo organizavimas </t>
  </si>
  <si>
    <t xml:space="preserve">Savivaldybės administracijos veiklos organizavimas </t>
  </si>
  <si>
    <t>SB (ĮP)</t>
  </si>
  <si>
    <t>Įstaigos</t>
  </si>
  <si>
    <t>SB (D)</t>
  </si>
  <si>
    <t>Visagino „Verdenės“ gimnazija (Valstybinės kalbos testavimas)</t>
  </si>
  <si>
    <t>Duomenų atvėrimo priemonių įgyvendinimas</t>
  </si>
  <si>
    <t xml:space="preserve">Lopšelis-darželis „Gintarėlis“ </t>
  </si>
  <si>
    <t>Draugystės progimnazija</t>
  </si>
  <si>
    <t>Gyventojų informavimas (taryba)</t>
  </si>
  <si>
    <t>Administracija</t>
  </si>
  <si>
    <t>2024  m. išlaidų projektas (lėšų poreikis), tūkst. Eur</t>
  </si>
  <si>
    <t>2024  m.asignavimų  planas, tūkst. Eur</t>
  </si>
  <si>
    <t>2026 m. išlaidų projektas, tūkst. Eur</t>
  </si>
  <si>
    <t xml:space="preserve">2023 m. asignavimų planas </t>
  </si>
  <si>
    <t>IŠ VISO programai finansuoti pagal finansavimo šaltinius (1 ir 2 punktai)</t>
  </si>
  <si>
    <t>Stebėsenos rodiklio pavadinimas
(matavimo vnt.)</t>
  </si>
  <si>
    <t>R-01-01-01-01</t>
  </si>
  <si>
    <t>R-01-01-01-02</t>
  </si>
  <si>
    <t>R-01-01-01-03</t>
  </si>
  <si>
    <t>R-01-01-02-01</t>
  </si>
  <si>
    <t>Jaunimo reikalų koordinatoriams savivaldybėse rekomenduotų atlikti užduočių įgyvendinimas (ne mažiau, kaip), procentai</t>
  </si>
  <si>
    <t>Gyvenamosios vietos deklaracijų, asmenų pateiktų elektroniniu būdu, dalies didėjimas per metus, ne mažiau kaip 1,5 proc</t>
  </si>
  <si>
    <t>P-01-01-02-14</t>
  </si>
  <si>
    <t>Įregistruotų nekilnojamojo turto objektų savivaldybėje skaičius</t>
  </si>
  <si>
    <t>Mero  rezervas</t>
  </si>
  <si>
    <t xml:space="preserve">Bendrosios dotacijos kompensacijos grąžinimas nuo planuotos </t>
  </si>
  <si>
    <t>Savivaldybės finansinių įsipareigojimų vykdymas po projektų įgyvendinimo (draudimų ir kt.)</t>
  </si>
  <si>
    <t>Atvertų duomenų rinkinių kiekis</t>
  </si>
  <si>
    <t>Projekte „Smart city – Visaginas“ numatytų įgyvendinti priemonių skaičius</t>
  </si>
  <si>
    <t>Informacinių leidinių, kuriuose skelbiama informacija apie savivaldybės veiklą, skaičius</t>
  </si>
  <si>
    <t>LSA nario mokesčiui numatytų lėšų panaudojimas</t>
  </si>
  <si>
    <t>E-01-01-01</t>
  </si>
  <si>
    <t>85</t>
  </si>
  <si>
    <t>E-01-01-02</t>
  </si>
  <si>
    <t>R-01-01-02-02</t>
  </si>
  <si>
    <t>Švietimo įstaigų veiklos organizavimas</t>
  </si>
  <si>
    <t xml:space="preserve">Vaikų lopšelio-darželio „Auksinis gaidelis“ </t>
  </si>
  <si>
    <t xml:space="preserve">Vaikų lopšelio-darželio „Auksinis raktelis“ </t>
  </si>
  <si>
    <t>Vaikų lopšelio-darželio „Ąžuoliukas“</t>
  </si>
  <si>
    <t xml:space="preserve">Vaikų lopšelio-darželio „Kūlverstukas“ </t>
  </si>
  <si>
    <t>Draugystės progimnazijos</t>
  </si>
  <si>
    <t>"Verdenės" gimnazijos</t>
  </si>
  <si>
    <t>Visagino kūrybos ir menų akademijos</t>
  </si>
  <si>
    <t>Iš viso</t>
  </si>
  <si>
    <t>SD</t>
  </si>
  <si>
    <t>Savivaldybės įstaigų ugdymo proceso užtikrinimas</t>
  </si>
  <si>
    <t>SB (MK)</t>
  </si>
  <si>
    <t xml:space="preserve">SD </t>
  </si>
  <si>
    <t>Kt.</t>
  </si>
  <si>
    <t>Švietimo pagalbos tarnyba</t>
  </si>
  <si>
    <t>Savivaldybės administracijos nepaskirstytos lėšos 2,4 proc.</t>
  </si>
  <si>
    <t>Besimokančiųjų iniciatyvų skatinimas, pažinimo, lavinimosi, saviraiškos galimybių užtikrinimas ir konkursų, olimpiadų organizavimas</t>
  </si>
  <si>
    <t>Edukacinių programų, projektų įgyvendinimas tobulinant švietimo darbuotojų kvalifikaciją, skatinant jų iniciatyvas</t>
  </si>
  <si>
    <t>Nacionalinio mokinių pasiekimų patikrinimo, pagrindinio ugdymo pasiekimų patikrinimo organizavimas ir brandos egzaminų vykdymas</t>
  </si>
  <si>
    <t>Dalyvavimas nacionaliniu ir tarptautiniu lygiu įgyvendinamuose projektuose</t>
  </si>
  <si>
    <t>Neformaliojo vaikų švietimo programų įgyvendinimas</t>
  </si>
  <si>
    <t>Visagino savivaldybės bendrojo ugdymo mokyklų tinklo pertvarkos plano priemonių įgyvendinimas pagal mokyklų parengtus ir suderintus priemonių planus</t>
  </si>
  <si>
    <t>Vienai sąlyginei mokytojo pareigybei tenkančių mokinių skaičius bendrojo ugdymo mokyklose</t>
  </si>
  <si>
    <t>Lėšų, skirtų besimokančiųjų iniciatyvų skatinimui, pažinimui, saviraiškos galimybių užtikrinimui ir konkursų, olimpiadų organizavimui, panaudojimas</t>
  </si>
  <si>
    <t>R-02-01-02-01</t>
  </si>
  <si>
    <t>R-02-01-02-02</t>
  </si>
  <si>
    <t>Švietimo srityje  įgyvendinamų projektų, finansuojamų iš nacionalinių arba tarptautinių fondų, skaičius</t>
  </si>
  <si>
    <t xml:space="preserve">Paskatintų asmenų skaičius </t>
  </si>
  <si>
    <t>P-02-01-03-05</t>
  </si>
  <si>
    <t>Mokinių besinaudojančių sukurta visos dienos mokyklos infrastruktūra skaičius</t>
  </si>
  <si>
    <t xml:space="preserve">Vaikų lopšelio-darželio „Gintarėlis“ </t>
  </si>
  <si>
    <t>"Atgimimo" gimnazijos</t>
  </si>
  <si>
    <t>"Gerosios vilties" progimnazijos</t>
  </si>
  <si>
    <t>"Žiburio" pagrindinės mokyklos</t>
  </si>
  <si>
    <t>Švietimo pagalbos tarnybos</t>
  </si>
  <si>
    <t>Atgimimo gimnazijos</t>
  </si>
  <si>
    <t>EGADP</t>
  </si>
  <si>
    <t>R-02-01-02-03</t>
  </si>
  <si>
    <t>R-02-01-02-04</t>
  </si>
  <si>
    <t>R-01-01-02-03</t>
  </si>
  <si>
    <t>R-01-01-02-04</t>
  </si>
  <si>
    <t>Įgyvendinant šią priemonę, finansuojami įvairūs savivaldybės 
prisiimti įsipareigojimai po projektų įgyvendinimo (nekilnojamojo turto draudimas ir kita).</t>
  </si>
  <si>
    <t>R-01-01-02-05</t>
  </si>
  <si>
    <t>R-01-01-02-06</t>
  </si>
  <si>
    <t>R-01-01-02-07</t>
  </si>
  <si>
    <t>R-01-01-02-08</t>
  </si>
  <si>
    <t>R-01-01-02-10</t>
  </si>
  <si>
    <t>R-01-01-02-11</t>
  </si>
  <si>
    <t>R-01-01-02-12</t>
  </si>
  <si>
    <t>R-01-01-02-13</t>
  </si>
  <si>
    <t>R-01-01-02-15</t>
  </si>
  <si>
    <t>R-01-01-02-16</t>
  </si>
  <si>
    <t>R-01-01-02-17</t>
  </si>
  <si>
    <t>R-01-01-02-18</t>
  </si>
  <si>
    <t>R-01-01-02-19</t>
  </si>
  <si>
    <t>R-01-01-02-20</t>
  </si>
  <si>
    <t>R-01-01-03-01</t>
  </si>
  <si>
    <t>R-01-01-03-03</t>
  </si>
  <si>
    <t>R-01-01-03-05</t>
  </si>
  <si>
    <t>R-01-01-04-01</t>
  </si>
  <si>
    <t>R-01-01-04-02</t>
  </si>
  <si>
    <t>R-01-01-04-03</t>
  </si>
  <si>
    <t>R-01-01-04-04</t>
  </si>
  <si>
    <t>R-01-01-05-01</t>
  </si>
  <si>
    <t>R-01-02-02-01</t>
  </si>
  <si>
    <t>R-01-02-02-02</t>
  </si>
  <si>
    <t>R-01-02-02-05</t>
  </si>
  <si>
    <t>R-01-02-02-07</t>
  </si>
  <si>
    <t>R-01-02-02-08</t>
  </si>
  <si>
    <t>R-01-02-03-01</t>
  </si>
  <si>
    <t>R-01-02-04-02</t>
  </si>
  <si>
    <t>R-01-02-04-03</t>
  </si>
  <si>
    <t>R-01-02-04-04</t>
  </si>
  <si>
    <t xml:space="preserve">Asignavimų pasikeitimas </t>
  </si>
  <si>
    <t>Užtikrinti efektyvią  įstaigų, veikiančių sporto srityje, veiklą</t>
  </si>
  <si>
    <t>Sportinio ugdymo programų ir sportininkų rengimo veiklos organizavimas ir paslaugų kokybės užtikrinimas</t>
  </si>
  <si>
    <t>Sporto projektų  įgyvendinimo Visagino savivaldybėje užtikrinimas</t>
  </si>
  <si>
    <t xml:space="preserve">Vaikų mokymo plaukti programos įgyvendinimas </t>
  </si>
  <si>
    <t>Kultūros įstaigų veiklos organizavimas</t>
  </si>
  <si>
    <t>Muziejinės veiklos Visagino savivaldybėje užtikrinimas</t>
  </si>
  <si>
    <t>Rengimasis dalyvauti Dainų šventėse</t>
  </si>
  <si>
    <t>Etninės kultūros sklaida, senųjų tradicijų, papročių populiarinimas, gyvybingumo puoselėjimas</t>
  </si>
  <si>
    <t>Kalendorinių švenčių organizavimas</t>
  </si>
  <si>
    <t>Nematerialaus kultūros paveldo apsaugos administravimas ir sklaida</t>
  </si>
  <si>
    <t xml:space="preserve">Dalyvavimas nacionaliniu ir tarptautiniu lygmeniu įgyvendinamuose projektuose </t>
  </si>
  <si>
    <t>Profesionalaus meno sklaida savivaldybėje</t>
  </si>
  <si>
    <t>Visagino bendruomenėms svarbių datų, sukakčių, profesinių švenčių paminėjimas</t>
  </si>
  <si>
    <t>Tradicinių Visagino savivaldybės festivalių, formuojančių Visagino ir regiono kultūrinį savitumą, organizavimas</t>
  </si>
  <si>
    <t>Valstybės švenčių, sukakčių, įvykių minėjimas, visuomenės pilietiškumo, patriotiškumo ir nacionalinės savivertės stiprinimas</t>
  </si>
  <si>
    <t>Valstybinių švenčių, atmintinų datų paminėjimas</t>
  </si>
  <si>
    <t>Lietuvos Respublikos  Seimo sprendimais minėtinų svarbių datų, įvykių ir asmenybių sukakčių paminėjimas</t>
  </si>
  <si>
    <t>Sociokultūrinių bendruomenės poreikių tenkinimas, laisvalaikio, neformaliojo švietimo programų, kultūrinių edukacijų, ugdančių gyventojų kultūrines kompetencijas ir kūrybiškumą, organizavimas įtraukiant skirtingo amžiaus, pomėgių ir poreikių visuomenės grupes</t>
  </si>
  <si>
    <t>Sociokultūrinių bendruomenės poreikių tenkinimas, laisvalaikio organizavimas</t>
  </si>
  <si>
    <t>Naujamečio laikotarpio priemonių įgyvendinimas</t>
  </si>
  <si>
    <t>Visagino miesto šventės organizavimas</t>
  </si>
  <si>
    <t>188711925</t>
  </si>
  <si>
    <t xml:space="preserve">Visagino viešosios bibliotekos veiklos užtikrinimas </t>
  </si>
  <si>
    <t>Visagino kultūros centro veiklos užtikrinimas</t>
  </si>
  <si>
    <t>Skatinti vietos bendruomenių iniciatyvas</t>
  </si>
  <si>
    <t>Tradicinių religinių bendrijų ir bendruomenių veiklos ir kultūrinių iniciatyvų skatinimas</t>
  </si>
  <si>
    <t>Vietos iniciatyvų projektų savivaldybėje įgyvendinimo skatinimas</t>
  </si>
  <si>
    <t>Dalyvavimas vietos veiklos grupių veikloje, viešosios naudos nevyriausybinių ir bendruomeninių organizacijų institucinio stiprinimo projektų (gebėjimai, lyderystė, sąlygos viešosios naudos organizacijų veiklos tvarumui užtikrinti, socialinis verslas ir kt. ) finansavimas</t>
  </si>
  <si>
    <t>Dalyvaujamojo biudžeto priemonių įgyvendinimo užtikrinimas</t>
  </si>
  <si>
    <t>Jaunimo politikos įgyvendinimas</t>
  </si>
  <si>
    <t>Atvirą darbą su jaunimu vykdančių organizacijų programų finansavimas</t>
  </si>
  <si>
    <t xml:space="preserve">Jaunimo vasaros užimtumo programos įgyvendinimas </t>
  </si>
  <si>
    <t>Visagino savivaldybės nusikaltimų prevencijos ir kontrolės programos įgyvendinimas</t>
  </si>
  <si>
    <t>Gaisrų prevencijos programos Visagino savivaldybėje įgyvendinimas</t>
  </si>
  <si>
    <t>Užtikrinti efektyvią savivaldybės biudžetinių socialinių paslaugų įstaigų veiklą</t>
  </si>
  <si>
    <t>Socialinių įstaigų veiklos organizavimas</t>
  </si>
  <si>
    <t>Visagino socialinių paslaugų centro veiklos užtikrinimas</t>
  </si>
  <si>
    <t>Visagino šeimos ir vaiko gerovės centro veiklos užtikrinimas</t>
  </si>
  <si>
    <t>Užtikrinti socialinių išmokų ir kompensacijų mokėjimą</t>
  </si>
  <si>
    <t>Išmokų vaikams skyrimas ir administravimas (SADM)</t>
  </si>
  <si>
    <t>Tikslinių kompensacijų mokėjimas ir administravimas</t>
  </si>
  <si>
    <t>Mokesčių už socialiai jautrioms grupėms suteiktas paslaugas kompensavimas</t>
  </si>
  <si>
    <t>Socialinės priežiūros paslaugų  šeimoms teikimo užtikrinimas (SPC)</t>
  </si>
  <si>
    <t xml:space="preserve">Socialinės paramos mokiniams išlaidoms už įsigytus produktus skyrimas </t>
  </si>
  <si>
    <t xml:space="preserve">Socialinės paramos mokinio reikmenims įsigyti skyrimas </t>
  </si>
  <si>
    <t xml:space="preserve">Socialinių paslaugų asmenims su sunkia negalia užtikrinimas </t>
  </si>
  <si>
    <t>Gyvenamosios aplinkos pritaikymas neįgaliesiems</t>
  </si>
  <si>
    <t>Mokesčių už komunalines paslaugas kompensavimas neįgaliesiems</t>
  </si>
  <si>
    <t>Vienkartinių, tikslinių, periodinių ir sąlyginių pašalpų gyventojams  teikimas</t>
  </si>
  <si>
    <t>Dotacija iš valstybės biudžeto lėšų, skirtų iš Lietuvos Respublikos socialinės apsaugos ir darbo ministerijos, vienkartinėms išmokoms įsikūrti gyvenamojoje vietoje savivaldybės teritorijoje ir (ar) mėnesinėms kompensacijoms vaiko ugdymo pagal ikimokyklinio ar priešmokyklinio ugdymo programą išlaidoms finansuoti</t>
  </si>
  <si>
    <t>Socialiai pažeidžiamų gyventojų grupių užimtumas, tarpžinybinio bendradarbiavimo skatinimas</t>
  </si>
  <si>
    <t xml:space="preserve">Transporto paslaugų organizavimas </t>
  </si>
  <si>
    <t>Socialinės rizikos židinių formavimosi  mažinimas,  sukuriant saugesnę  ir patogesnę aplinką   asmenims,  gyvenantiems  bendrabučiuose</t>
  </si>
  <si>
    <t xml:space="preserve">Senyvo amžiaus žmonių gyvenimo kokybės stiprinimas </t>
  </si>
  <si>
    <t xml:space="preserve">Pagalba šeimoms, globojančioms vaikus </t>
  </si>
  <si>
    <t>Gyvenamojo būsto priskiriamo įvairioms socialinėms reikmėms priežiūra</t>
  </si>
  <si>
    <t>Vienkartinė parama įsteigus šeimyną</t>
  </si>
  <si>
    <t>Lengvatų suteikimas vietinės rinkliavos už komunalinių atliekų surinkimą iš atliekų turėtojų ir atliekų tvarkymą</t>
  </si>
  <si>
    <t>Asmens palaikų, kurių laidojimu privalo rūpintis savivaldybė, pervežimo ir laidojimo kompensavimas</t>
  </si>
  <si>
    <t xml:space="preserve">Būsto nuomos ar išperkamosios būsto nuomos mokesčių dalies kompensacijoms </t>
  </si>
  <si>
    <t>Skatinti socialinių paslaugų plėtrą bendruomenėje</t>
  </si>
  <si>
    <t xml:space="preserve">Šeimos gerovę užtikrinančių paslaugų ir priemonių sistemos įgyvendinimas" </t>
  </si>
  <si>
    <t>Visagino garbės piliečių nuostatuose numatytų teisių įgyvendinimas</t>
  </si>
  <si>
    <t>Asmeninės pagalbos teikimo užtikrinimas</t>
  </si>
  <si>
    <t>Socialinės reabilitacijos paslaugų neįgaliesiems paslaugų teikimo organizavimas</t>
  </si>
  <si>
    <t xml:space="preserve">Vaikų dienos centrų veiklos užtikrinimas </t>
  </si>
  <si>
    <t>Stiprinti ir plėtoti visuomenės sveikatinimo veiklą</t>
  </si>
  <si>
    <t>Savivaldybės visuomenės sveikatos priežiūros rėmimo specialiųjų programų vykdymas</t>
  </si>
  <si>
    <t xml:space="preserve">Dalyvavimas programose, skirtose sveikatai stiprinti </t>
  </si>
  <si>
    <t xml:space="preserve">Sveikos gyvensenos įgūdžių bendruomenėse stiprinimui bei visuomenės sveikatos stebėsenos savivaldybėje vykdymui </t>
  </si>
  <si>
    <t>Narkotikų, alkoholio ir tabako vartojimo prevencijos ir kontrolės stiprinimas</t>
  </si>
  <si>
    <t>Žmonių užkrečiamųjų ligų profilaktikos ir kontrolės organizavimas (Covid 19)</t>
  </si>
  <si>
    <t>Psichikos sveikatos stiprinimo, psichosocialinės pagalbos ir savižudybių prevencijos intervencijų plėtra</t>
  </si>
  <si>
    <t>Trūkstamų specialybių gydytojų skatinimo dirbti Visagino savivaldybės viešosiose asmens sveikatos priežiūros įstaigose programos įgyvendinimas</t>
  </si>
  <si>
    <t>Remti sveikatos priežiūros paslaugų teikimą nustatytų kategorijų žmonėms</t>
  </si>
  <si>
    <t>Projekto „Rokiškio rajono, Kupiškio rajono ir Visagino savivaldybių mokyklų sveikatos kabinetų atnaujinimas“ įgyvendinimas</t>
  </si>
  <si>
    <t>Užtikrinti Savivaldybės darbuotojų saugą darbe</t>
  </si>
  <si>
    <t>Savivaldybės darbuotojų saugos darbe užtikrinimo programa</t>
  </si>
  <si>
    <t>Mažinti aplinkos užterštumą ir gerinti vandens telkinių, bendro naudojimo ir kitų teritorijų būklę</t>
  </si>
  <si>
    <t>Vietinės rinkliavos už komunalinių atliekų surinkimą administravimas</t>
  </si>
  <si>
    <t>Užterštų teritorijų valymas</t>
  </si>
  <si>
    <t>Aplinkos monitoringo, prevencinių ,aplinkos atkūrimo priemonių įgyvendinimas</t>
  </si>
  <si>
    <t xml:space="preserve">Atliekų tvarkymas ir atliekų tvarkymo infrastruktūros plėtra </t>
  </si>
  <si>
    <t>Želdynų ir želdinių apsaugos tvarkymo, būklės stebėsenos, želdinių kūrimo, veisimo, inventorizacijos priemonių įgyvendinimas</t>
  </si>
  <si>
    <t xml:space="preserve">Tekstilės atliekų surinkimas </t>
  </si>
  <si>
    <t xml:space="preserve">Visuomenės švietimas ir mokymas aplinkosaugos klausimais </t>
  </si>
  <si>
    <t xml:space="preserve">Miško sklypų savininkų, valdytojų ir naudotojų, įgyvendinančių medžiojamų gyvūnų daromos žalos miškui apsaugos priemones, kuriomis jie siekia išvengti medžiojamųjų gyvūnų daromos žalos miškui, rėmimas </t>
  </si>
  <si>
    <t>Atsinaujinančių energijos šaltinių panaudojimo skatinimas, aplinkai palankių technologijų diegimas</t>
  </si>
  <si>
    <t>Aplinkos kokybės gerinimas  ir apsauga</t>
  </si>
  <si>
    <t>Mokestis už paviršinių nuotekų nuotakyno sistemos tvarkymą</t>
  </si>
  <si>
    <t>Triukšmo prevencijos programos įgyvendinimas</t>
  </si>
  <si>
    <t>Išsaugoti, formuoti etalonines kraštovaizdžio teritorijas, gerinti ekologinę būklę gamtinio karkaso teritorijose</t>
  </si>
  <si>
    <t>Projekto  "Dalies kanalizuoto Gulbinės upelio Visagino mieste išlaisvinimas ir žaliosios infrastruktūros elementų kūrimas" įgyvendinimas</t>
  </si>
  <si>
    <t>Bendradarbiavimas su VšĮ „Euroregiono Ežerų kraštas direktorato biuras“</t>
  </si>
  <si>
    <t>Investicijoms pritaikytos verslo ir gamybos pastatų bei žemės infrastruktūros, skatinant apleistų/nenaudojamų/neefektyviai naudojamų teritorijų ir pastatų konversiją ir pritaikymą ekonominei veiklai, sukūrimas</t>
  </si>
  <si>
    <t>Verslo skatinimas ir investicijų pritraukimas</t>
  </si>
  <si>
    <t>Visagino savivaldybės užimtumo didinimo programos įgyvendinimas</t>
  </si>
  <si>
    <t>Pritraukti ES ir kitų fondų lėšas miesto plėtros projektams įgyvendinti</t>
  </si>
  <si>
    <t>Paraiškų parengimas ES struktūrinių fondų paramai gauti ir būtinosios (privalomosios) dokumentacijos prie projektų parengimas</t>
  </si>
  <si>
    <t>Dalyvavimas Utenos regiono plėtros tarybos veikloje</t>
  </si>
  <si>
    <t>Bendradarbiavimo su Visagino technologijų ir verslo profesinio mokymo centru, siekiant pritraukti investuotojus į regioną, užtikrinimas</t>
  </si>
  <si>
    <t>Teritorijų planavimo dokumentų rengimas</t>
  </si>
  <si>
    <t>Žemės sklypų planų (kadastrinių matavimų) rengimas</t>
  </si>
  <si>
    <t>Inovacijų, paremtų technologijų panaudojimu, viešajame ir privačiame sektoriuose skatinimas.</t>
  </si>
  <si>
    <t>Skaitmeninės įmonių plėtros ir neutralios klimatui ekonomikos skatinimas</t>
  </si>
  <si>
    <t>Projekto "Laisvalaikio ir aktyvaus poilsio erdvės sukūrimas Jaunystės g. 4, Visagine" įgyvendinimas</t>
  </si>
  <si>
    <t>Daugiataučio kultūros paveldo perdavimo per vietos verslo paslaugas rėmimas</t>
  </si>
  <si>
    <t xml:space="preserve">Vandens transporto priemonių nuleidimo vietų įrengimas </t>
  </si>
  <si>
    <t>Miesto kraštovaizdžio formavimas ir įprasminimas</t>
  </si>
  <si>
    <t>Tematinių renginių organizavimas, išnaudojant miesto viešąją infrastruktūrą daugiataučio, kūrybiško, energetikos miesto įvaizdžiui viešinti</t>
  </si>
  <si>
    <t>Ekonomikos ir investicijų augimo skatinimas savivaldybėje, vystant turizmo plėtrą</t>
  </si>
  <si>
    <t xml:space="preserve">Turizmo, rekreacijos ir poilsio viešųjų paslaugų teikimas per Visagino rekreacijos paslaugų centro filialo „Visagino parkas“ </t>
  </si>
  <si>
    <t>Projekto "Rytų Aukštaitijos miestai ir miesteliai – informavimo apie lankytinas vietas stiprinimas ženklinimo priemonėmis" įgyvendinimas</t>
  </si>
  <si>
    <t xml:space="preserve">Savivaldybės lankomų turistinių objektų priežiūra ir remontas </t>
  </si>
  <si>
    <t xml:space="preserve">Kompensacijų mokėjimas už lengvatinį keleivių vežimą </t>
  </si>
  <si>
    <t>Mokinių pavėžėjimas</t>
  </si>
  <si>
    <t>Transporto paslaugų teikimas savivaldybės biudžetinėms įstaigoms, kitiems juridiniams ir fiziniams asmenims</t>
  </si>
  <si>
    <t xml:space="preserve">Kelių priežiūros ir plėtros programos priemonių įgyvendinimas </t>
  </si>
  <si>
    <t xml:space="preserve">Elektromobilių įkrovimo prieigų tinklo Visagino mieste   plėtra ir esamo išlaikymas </t>
  </si>
  <si>
    <t>Miesto šaligatvių paprastasis remontas</t>
  </si>
  <si>
    <t>Atnaujinti (rekonstruoti) Visagino viešuosius, ūkinius pastatus</t>
  </si>
  <si>
    <t>Renovuoti ir įrengti automobilių stovėjimo, dviračių ir pėsčiųjų takus, sporto ir laisvalaikio aikšteles</t>
  </si>
  <si>
    <t>Projekto „Dviračių tako su apšvietimu, nuo sankryžos (Taikos prospekto ir Energetikų g.) iki valstybinės reikšmės kelio Nr. 177, Visagine“ įgyvendinimas</t>
  </si>
  <si>
    <t>Renovuoti ir įrengti dviračių ir pėsčiųjų takus</t>
  </si>
  <si>
    <t>Projektavimo darbų paslaugos ir projektų ekspertizė</t>
  </si>
  <si>
    <t>Prižiūrėti, remontuoti ir įrengti vaikų žaidimų aikšteles savivaldybėje</t>
  </si>
  <si>
    <t>Projekto "Sedulinos alėjos atkarpos nuo Parko g. iki Visagino g. rekonstrukcija" įgyvendinimas</t>
  </si>
  <si>
    <t>Projekto "Jungties nuo geležinkelio stoties iki Visagino miesto centro įrengimas, kartu su etno kultūrų parku įrengimas" įgyvendinimas</t>
  </si>
  <si>
    <t>Remontuoti ir prižiūrėti savivaldybės turtą</t>
  </si>
  <si>
    <t>Pastatų konstrukcijų ir inžinerinių tinklų remontas, avariniai darbai</t>
  </si>
  <si>
    <t>Vykdyti Visagino savivaldybės daugiabučių namų atnaujinimo (modernizavimo) programą</t>
  </si>
  <si>
    <t>Įgyvendinti savivaldybės infrastruktūros plėtros įstatymo nuostatas</t>
  </si>
  <si>
    <t>Visagino savivaldybės infrastruktūros plėtros priemonių plane numatytų priemonių įgyvendinimas</t>
  </si>
  <si>
    <t>Tvarkyti gyvenamąją aplinką, administruoti gatvių apšvietimo paslaugas</t>
  </si>
  <si>
    <t>Visagino miesto teritorijos ribų pažymėjimas, gatvių pavadinimų ir objektų (pastatų) numeracijos ženklinimo darbai</t>
  </si>
  <si>
    <t>Apšvietimo sistemos avarinės būklės ruožų keitimo ir naujų kabelinių linijų nutiesimo darbai</t>
  </si>
  <si>
    <t>Projekto Visagino gatvių apšvietimo sistemos modernizavimas" įgyvendinimas</t>
  </si>
  <si>
    <t xml:space="preserve">Savivaldybės gatvių apšvietimas </t>
  </si>
  <si>
    <t>Elektros linijų ir elektros spintų, apskaitos skydų montavimas</t>
  </si>
  <si>
    <t>Pastatų šilumos sistemos ir šilumos mazgų priežiūra ir remontas</t>
  </si>
  <si>
    <t>Naujų objektų, sukurtų projektų įgyvendinimo metu, prijungimas prie AB "ESO" elektros skirstomųjų tinklų, esamų VSA objektų galių didinimas ir esamų kabelių iškėlimo paslaugos</t>
  </si>
  <si>
    <t>Požeminių tinklų topografinių planų atnaujinimas Visagino miesto ir savivaldybės teritorijoje</t>
  </si>
  <si>
    <t>Vykdyti kapinių priežiūros darbus</t>
  </si>
  <si>
    <t>Visų kapinių, esančių Visagino savivaldybės teritorijoje,  priežiūros darbai</t>
  </si>
  <si>
    <t xml:space="preserve">Projekto "Kapinių Dūkšto kel. 62 plėtra" įgyvendinimas  </t>
  </si>
  <si>
    <t>Savivaldybės kaimiškųjų vietovių infrastruktūros tvarkymas</t>
  </si>
  <si>
    <t>Kraštovaizdžio ekologinės pusiausvyros formavimas, išardant nebaigtos statybos arba nereikalingus , netinkamus naudoti statinius Visagino savivaldybėje</t>
  </si>
  <si>
    <t>Visagino savivaldybės sporto renginių organizavimas pagal patvirtintą metinį Sporto renginių planą bei sąlygų dalyvauti tarptautiniuose čempionatuose atstovaujant Visagino savivaldybei užtikrinimas</t>
  </si>
  <si>
    <t xml:space="preserve">2022-08-26 Visagino savivaldybės taryba sprendimu Nr. TS-148 "Dėl Visagino savivaldybės pradinių klasių mokinių mokymo plaukti programos patvirtinimo" buvo patvirtinta Visagino savivaldybės pradinių klasių mokinių mokymo plaukti programą, kurios pagrindinis tikslas mažinti skendimų skaičių, ugdyti sveiką mokinį ir formuoti sveikos bei fiziškai aktyvios mokinių gyvensenos įgūdžius
</t>
  </si>
  <si>
    <t xml:space="preserve">Plaukti išmokusių  mokinių skaičius, nuo visų Programos dalyvių proc. </t>
  </si>
  <si>
    <t xml:space="preserve">Sporto projektų finansuojamų savivaldybės biudžeto lėšomis skaičius </t>
  </si>
  <si>
    <t>4</t>
  </si>
  <si>
    <t>35</t>
  </si>
  <si>
    <t>40</t>
  </si>
  <si>
    <t>Metinio renginių plano įgyvendinimas</t>
  </si>
  <si>
    <t>Plėtoti ir tobulinti sporto varžybas ir sporto sveikatingumo renginius siekiant įtraukti vaikus, jaunimą ir kitas gyventojų grupes į sportinę veiklą, rengti sporto specialistus</t>
  </si>
  <si>
    <t>E-03-01-01</t>
  </si>
  <si>
    <t>R-03-01-01-01</t>
  </si>
  <si>
    <t>E-03-01-02</t>
  </si>
  <si>
    <t>R-03-01-02-01</t>
  </si>
  <si>
    <t>R-03-01-02-02</t>
  </si>
  <si>
    <t>R-03-01-02-03</t>
  </si>
  <si>
    <t>6</t>
  </si>
  <si>
    <t>R-03-01-02-04</t>
  </si>
  <si>
    <t>R-03-01-02-06</t>
  </si>
  <si>
    <t>R-03-01-02-08</t>
  </si>
  <si>
    <t>R-04-01-01-01</t>
  </si>
  <si>
    <t>E-04-01-01</t>
  </si>
  <si>
    <t>E-04-02-01</t>
  </si>
  <si>
    <t>R-04-02-01-02</t>
  </si>
  <si>
    <t>R-04-02-01-03</t>
  </si>
  <si>
    <t>R-04-02-01-04</t>
  </si>
  <si>
    <t>E-04-02-02</t>
  </si>
  <si>
    <t>R-04-02-02-01</t>
  </si>
  <si>
    <t>Finansuotų kultūros srityje veikiančių 
įstaigų skaičius</t>
  </si>
  <si>
    <t>Užtikrinti efektyvią kultūros įstaigų veiklą</t>
  </si>
  <si>
    <t>0,2</t>
  </si>
  <si>
    <t>V-04-01-01-02</t>
  </si>
  <si>
    <t>Organizuotų renginių  skaičius</t>
  </si>
  <si>
    <t>8</t>
  </si>
  <si>
    <t>Profesionalaus meno sklaidos renginių skaičius Visagino kultūros centre: - koncertų (klasikinės, džiazo muzikos), - spektaklių, - parodų</t>
  </si>
  <si>
    <t>Organizuota festivalių, formuojančių Visagino ir regiono kultūrinį savitumą</t>
  </si>
  <si>
    <t>Finansuotų/įgyvendintų projektų skaičius</t>
  </si>
  <si>
    <t xml:space="preserve">Organizuota sociokultūrinių bendruomenės poreikius tenkinančių renginių skaičius </t>
  </si>
  <si>
    <t>Organizuota valstybinių švenčių, svarbių Lietuvai datų minėjimų skaičius</t>
  </si>
  <si>
    <t>R-04-02-01-01</t>
  </si>
  <si>
    <t>R-04-02-02-02</t>
  </si>
  <si>
    <t>R-04-02-02-03</t>
  </si>
  <si>
    <t>R-04-02-02-04</t>
  </si>
  <si>
    <t>R-04-02-02-05</t>
  </si>
  <si>
    <t>R-04-02-03-01</t>
  </si>
  <si>
    <t>R-04-02-03-02</t>
  </si>
  <si>
    <t>R-04-02-04-01</t>
  </si>
  <si>
    <t>R-04-02-04-02</t>
  </si>
  <si>
    <t>R-04-02-04-03</t>
  </si>
  <si>
    <t>300141349</t>
  </si>
  <si>
    <t>300509331</t>
  </si>
  <si>
    <t>Visagino viešosios bibliotekos  ir Visagino kultūros centro veiklos užtikrinimas</t>
  </si>
  <si>
    <t>Įgyvendinant šią priemonę bus vykdomi renginiai 
susiję su kalendorinėmis šventėmis (Sekminės, Joninės ir kt.)</t>
  </si>
  <si>
    <t>Įgyvendinant šią priemonę Visagino kultūros centre bus vykdoma profesionalaus meno sklaida, organizuojamos menininkų rezidencijos, organizuojamos parodos.</t>
  </si>
  <si>
    <t>Įgyvendinant šią priemonę bus organizuojami Laisvės gynėjų dienos, Valstybės atkūrimo dienos, Lietuvos nepriklausomybės atkūrimo dienos, Valstybės dienos paminėjimo renginiai.</t>
  </si>
  <si>
    <t>Kt</t>
  </si>
  <si>
    <t>ĮP</t>
  </si>
  <si>
    <t>Savivaldybės administracija</t>
  </si>
  <si>
    <t>Visagino kultūros centras</t>
  </si>
  <si>
    <t>Visagino viešoji biblioteka</t>
  </si>
  <si>
    <t>Visagino kūrybos menų akademija</t>
  </si>
  <si>
    <t>P</t>
  </si>
  <si>
    <t>Užimtumo tarnyboje prie Lietuvos Respublikos socialinės apsaugos ir darbo ministerijos bedarbio statusu registruotų ukrainiečių skaičius</t>
  </si>
  <si>
    <t>0–3 metų vaikai</t>
  </si>
  <si>
    <t>4–6 metų amžiaus vaikai</t>
  </si>
  <si>
    <t>70+ amžiaus asmenys</t>
  </si>
  <si>
    <t>Bendrojo ugdymo įstaigose registruoti mokiniai</t>
  </si>
  <si>
    <t>Bendras asmenų skaičius</t>
  </si>
  <si>
    <t>68</t>
  </si>
  <si>
    <t>25</t>
  </si>
  <si>
    <t>42</t>
  </si>
  <si>
    <t>44</t>
  </si>
  <si>
    <t>82</t>
  </si>
  <si>
    <t>261</t>
  </si>
  <si>
    <t>Planuojama skirti lėšas (konkurso tvarka) Visagino savivaldybėje veikiančių tradicinių religinių bendrijų ir bendruomenių projektams, kurių įgyvendinimu gerinama kulto pastatų ir juos supančių viešųjų erdvių infrastruktūra, realizuojami sociokultūriniai tikslai, remti. Projektų konkursų finansavimo sąlygų aprašas tvirtinamas teisės aktų nustatyta tvarka</t>
  </si>
  <si>
    <t>Paremtų tradicinių religinių bendrijų ir bendruomenių veiklos ir kultūrinių iniciatyvų vietos projektų skaičius</t>
  </si>
  <si>
    <t>3</t>
  </si>
  <si>
    <t>Vietos veiklos grupių, kurių veikloje dalyvaujama skaičius</t>
  </si>
  <si>
    <t>Įgyvendintų dalyvaujamojo biudžeto priemonių skaičius</t>
  </si>
  <si>
    <t>Jaunimo politikos įgyvendinimo srityje organizuotų renginių skaičius</t>
  </si>
  <si>
    <t>Jaunimo vasaros užimtumo programoje dalyvavusių jaunuolių skaičius</t>
  </si>
  <si>
    <t xml:space="preserve">Įgyvendintų priemonių skaičius </t>
  </si>
  <si>
    <t>Iš bendruomenės gautų skundų, susijusių su Lietuvos Respublikos Konstitucijos 29 straipsnio nuostatomis, skaičius</t>
  </si>
  <si>
    <t>R-05-01-01-01</t>
  </si>
  <si>
    <t>R-05-01-01-02</t>
  </si>
  <si>
    <t>R-05-01-01-03</t>
  </si>
  <si>
    <t>R-05-01-01-04</t>
  </si>
  <si>
    <t>R-05-01-01-05</t>
  </si>
  <si>
    <t>E-05-01-01</t>
  </si>
  <si>
    <t>E-05-02-01</t>
  </si>
  <si>
    <t>R-05-02-01-01</t>
  </si>
  <si>
    <t>R-05-02-01-02</t>
  </si>
  <si>
    <t>R-05-02-01-03</t>
  </si>
  <si>
    <t>R-05-02-01-04</t>
  </si>
  <si>
    <t>E-05-03-01</t>
  </si>
  <si>
    <t>R-05-03-01-02</t>
  </si>
  <si>
    <t>R-05-03-01-01</t>
  </si>
  <si>
    <t>R-05-03-01-03</t>
  </si>
  <si>
    <t>R-05-03-01-04</t>
  </si>
  <si>
    <t>E-05-04-01</t>
  </si>
  <si>
    <t>R-05-04-01-01</t>
  </si>
  <si>
    <t>R-05-04-01-02</t>
  </si>
  <si>
    <t>300079075</t>
  </si>
  <si>
    <t>190230824</t>
  </si>
  <si>
    <t>Visagino Atgimimo gimnazija</t>
  </si>
  <si>
    <t>Visagino Draugystės progimnazija</t>
  </si>
  <si>
    <t>Visagino Gerosios vilties progimnazija</t>
  </si>
  <si>
    <t>Visagino Verdenės gimnazija</t>
  </si>
  <si>
    <t>Visagino "Žiburio" pagrindinė mokykla</t>
  </si>
  <si>
    <t>Visagino vaikų l-d Auksinis raktelis</t>
  </si>
  <si>
    <t>Visagino vaikų lopšelis-darželis Kūlverstukas</t>
  </si>
  <si>
    <t>Visagino vaikų l-d Gintarėlis</t>
  </si>
  <si>
    <t>Visagino vaikų l-d "Ąžuoliukas"</t>
  </si>
  <si>
    <t>Visagino L-d Auksinis gaidelis (Vaikystės pedagogikos centras)</t>
  </si>
  <si>
    <t>Šeimos ir vaiko gerovės centras</t>
  </si>
  <si>
    <t>D</t>
  </si>
  <si>
    <t>Iš jų: dotacija iš valstybės biudžeto lėšų, skirtų iš Lietuvos Respublikos Socialinės apsaugos ir darbo ministerijos, skirtų būstų nuomai iš fizinių ir juridinių asmenų apmokėti</t>
  </si>
  <si>
    <t xml:space="preserve">Socialinių paslaugų centras </t>
  </si>
  <si>
    <t xml:space="preserve">Visagino savivaldybės tarybos sprendimų, susijusių su mokesčių už teikiamas paslaugas, kompensavimu įgyvendinimas (100 proc. mokesčio už vieną neformaliojo švietimo programą jų pasirinktoje vienoje Visagino savivaldybės biudžetinėje neformaliojo švietimo įstaigoje kompensacija suaugusiems neįgaliems asmenims, kurių pajamos bendrai gyvenantiems asmenims arba vienam gyvenančiam asmeniui per mėnesį yra mažesnės negu 3 valstybės remiamų pajamų dydžiai; mokesčio už baseinų suteiktas paslaugas kompensavimas, NVŠ, mokesčio už ikimokyklinį ugdymą lengvatos ir pan.) </t>
  </si>
  <si>
    <t>Visagino savivaldybės tarybos 2011 m. vasario 17 d. sprendimu Nr. TS-18 „Dėl mokesčių asmenims, kuriems nustatytas specialusis nuolatinės slaugos poreikis, kompensavimo“ neįgaliems asmenims su sunkia negalia kompensuojami mokesčiai už komunalines paslaugas (laiptinių ir rūsių apšvietimas, liftas, bendro naudojimo vietų valymas), kuriomis jie nesinaudoja (savivaldybės biudžeto lėšos). Už šios priemonės įgyvendinimą atsakingas Socialinės paramos skyrius.</t>
  </si>
  <si>
    <t xml:space="preserve">Įgyvendinant šią priemonę bus užtikrintas kompleksinių paslaugų šeimai organizavimas po projekto įgyvendinimo. </t>
  </si>
  <si>
    <t>Įgyvendinant šią priemonę gali būti suteikiama lengvata atliekų turėtojams už vietinės rinkliavos už komunalinių atliekų surinkimą iš atliekų turėtojų ir atliekų tvarkymą.</t>
  </si>
  <si>
    <t>Įgyvendinant šią priemonę gali būti kompensuojama Būsto nuomos ar išperkamosios būsto nuomos mokesčių dalis.</t>
  </si>
  <si>
    <t>Tikslinių kompensacijų gavėjų skaičius</t>
  </si>
  <si>
    <t>Išmokų nedarbingiems neįgaliesiems, auginantiems vaikus iki 18 metų, gavėjų skaičius</t>
  </si>
  <si>
    <t>Socialinių darbuotojų, teikiančių socialinę priežiūrą šeimoms, pareigybių skaičius, vienetai</t>
  </si>
  <si>
    <t>Mokinių, gaunančių nemokamą maitinimą, vidutinis skaičius per mėnesį</t>
  </si>
  <si>
    <t>Mokinių, gaunančių paramą mokinio reikmenims įsigyti, skaičius</t>
  </si>
  <si>
    <t>540</t>
  </si>
  <si>
    <t>Asmenų su sunkia negalia, gaunančių socialinę globą, skaičius</t>
  </si>
  <si>
    <t>7</t>
  </si>
  <si>
    <t>80</t>
  </si>
  <si>
    <t>Neįgaliųjų, kuriems kompensuota dalis mokesčio už komunalines paslaugas, skaičius</t>
  </si>
  <si>
    <t>110</t>
  </si>
  <si>
    <t>Kitą socialinę paramą gavusių asmenų skaičius</t>
  </si>
  <si>
    <t>200</t>
  </si>
  <si>
    <t>Asmenų, gavusių transporto paslaugas, skaičius</t>
  </si>
  <si>
    <t>60</t>
  </si>
  <si>
    <t xml:space="preserve">Suremontuotų bendrabučių patalpų skaičius </t>
  </si>
  <si>
    <t>Paslaugas gavusių senyvo amžiaus žmonių skaičius</t>
  </si>
  <si>
    <t>45</t>
  </si>
  <si>
    <t>Kompleksines paslaugas gavusių šeimų skaičius</t>
  </si>
  <si>
    <t>170</t>
  </si>
  <si>
    <t>120</t>
  </si>
  <si>
    <t>Asmenų, kurių pervežimu ir palaidojimu pasirūpino savivaldybė, skaičius</t>
  </si>
  <si>
    <t>Asmenų (šeimų), gavusių būsto nuomos mokesčio dalies kompensaciją, skaičius, vienetai</t>
  </si>
  <si>
    <t>Fizinių ar juridinių asmenų, perdavusių savo būstą ar patalpas neatlygintinai naudotis panaudos pagrindais dėl karinių veiksmų iš Ukrainos pasitraukusiems gyventojams skaičius</t>
  </si>
  <si>
    <t>Šeimos gerovę užtikrinančių priemonių skaičius</t>
  </si>
  <si>
    <t>Asmenų, kuriems suteiktas Garbės piliečių vardas, skaičius</t>
  </si>
  <si>
    <t>Asmenų, kuriems suteikta individuali pagalba namuose ir viešojoje aplinkoje, skaičius</t>
  </si>
  <si>
    <t>Integralios pagalbos namuose gavėjų skaičius</t>
  </si>
  <si>
    <t>Veikiančių savarankiško gyvenimo namų  Visagine skaičius</t>
  </si>
  <si>
    <t xml:space="preserve">Įgyvendintų projektų skaičius </t>
  </si>
  <si>
    <t>Veikiančių  bendruomeninių vaikų globos namų skaičius</t>
  </si>
  <si>
    <t>Globėjų (rūpintojų), kuriems teikiama pagalba, skaičius</t>
  </si>
  <si>
    <t>E-06-01-01</t>
  </si>
  <si>
    <t>R-06-01-01-01</t>
  </si>
  <si>
    <t>R-06-01-02-01</t>
  </si>
  <si>
    <t>R-06-01-02-02</t>
  </si>
  <si>
    <t>R-06-01-02-03</t>
  </si>
  <si>
    <t>R-06-01-02-04</t>
  </si>
  <si>
    <t>R-06-01-02-06</t>
  </si>
  <si>
    <t>R-06-01-02-07</t>
  </si>
  <si>
    <t>R-06-01-02-08</t>
  </si>
  <si>
    <t>R-06-01-02-09</t>
  </si>
  <si>
    <t>R-06-01-02-10</t>
  </si>
  <si>
    <t>R-06-01-02-11</t>
  </si>
  <si>
    <t>R-06-01-03-01</t>
  </si>
  <si>
    <t>R-06-01-03-02</t>
  </si>
  <si>
    <t>R-06-01-03-03</t>
  </si>
  <si>
    <t>R-06-01-03-04</t>
  </si>
  <si>
    <t>R-06-01-03-05</t>
  </si>
  <si>
    <t>R-06-01-03-06</t>
  </si>
  <si>
    <t>R-06-01-03-07</t>
  </si>
  <si>
    <t>R-06-01-03-08</t>
  </si>
  <si>
    <t>R-06-01-03-09</t>
  </si>
  <si>
    <t>R-06-01-03-10</t>
  </si>
  <si>
    <t>R-06-01-03-11</t>
  </si>
  <si>
    <t>R-06-01-03-12</t>
  </si>
  <si>
    <t>R-06-01-03-13</t>
  </si>
  <si>
    <t>R-06-01-03-14</t>
  </si>
  <si>
    <t>R-06-01-03-15</t>
  </si>
  <si>
    <t>R-06-01-03-16</t>
  </si>
  <si>
    <t>R-06-01-03-17</t>
  </si>
  <si>
    <t>R-06-01-03-18</t>
  </si>
  <si>
    <t>R-06-02-01-01</t>
  </si>
  <si>
    <t>R-06-02-01-02</t>
  </si>
  <si>
    <t>R-06-02-01-03</t>
  </si>
  <si>
    <t>R-06-02-01-04</t>
  </si>
  <si>
    <t>R-06-02-01-05</t>
  </si>
  <si>
    <t>R-06-02-01-06</t>
  </si>
  <si>
    <t>R-06-02-01-07</t>
  </si>
  <si>
    <t>R-06-02-01-08</t>
  </si>
  <si>
    <t>R-06-02-01-09</t>
  </si>
  <si>
    <t>R-06-02-01-10</t>
  </si>
  <si>
    <t>R-06-02-01-11</t>
  </si>
  <si>
    <t>R-06-02-01-12</t>
  </si>
  <si>
    <t>R-06-02-01-13</t>
  </si>
  <si>
    <t>R-06-02-01-14</t>
  </si>
  <si>
    <t>AA</t>
  </si>
  <si>
    <t>E-07-01-01</t>
  </si>
  <si>
    <t>R-07-01-01-01</t>
  </si>
  <si>
    <t>R-07-01-01-02</t>
  </si>
  <si>
    <t>R-07-01-01-03</t>
  </si>
  <si>
    <t>R-07-01-01-04</t>
  </si>
  <si>
    <t>R-07-01-01-05</t>
  </si>
  <si>
    <t>R-07-01-01-06</t>
  </si>
  <si>
    <t>R-07-01-01-07</t>
  </si>
  <si>
    <t>R-07-01-01-08</t>
  </si>
  <si>
    <t>R-07-01-01-09</t>
  </si>
  <si>
    <t>R-07-01-01-10</t>
  </si>
  <si>
    <t>R-07-01-01-11</t>
  </si>
  <si>
    <t>E-07-02-01</t>
  </si>
  <si>
    <t>R-07-01-02-03</t>
  </si>
  <si>
    <t>R-07-01-02-04</t>
  </si>
  <si>
    <t>E-07-02-03</t>
  </si>
  <si>
    <t>R-07-01-03-01</t>
  </si>
  <si>
    <t>Vykdomų visuomenės sveikatos rėmimo programos priemonių skaičius</t>
  </si>
  <si>
    <t>Įstaigų, dalyvaujančių programose, skirtose sveikatai stiprinti, skaičius</t>
  </si>
  <si>
    <t xml:space="preserve">Suaugusiųjų, kurie savo dabartinę sveikatos būklę vertina kaip gerą arba labai gerą, dalis </t>
  </si>
  <si>
    <t>70,06</t>
  </si>
  <si>
    <t>Lėšų, skirtų užkrečiamųjų ligų profilaktikos ir asmens higienos klausimais panaudojimas</t>
  </si>
  <si>
    <t>65</t>
  </si>
  <si>
    <t>Įgyvendintų projektų, skirtų priklausomybės ligų profilaktikai, skaičius</t>
  </si>
  <si>
    <t>14,3</t>
  </si>
  <si>
    <t xml:space="preserve">Atvykusių dirbti gydytojų ar studentų, kuriems apmokėtos studijos, skaičius </t>
  </si>
  <si>
    <t>Atnaujintų savivaldybių mokyklų sveikatos kabinetų skaičius</t>
  </si>
  <si>
    <t>Privalomajame darbuotojų sveikatos tikrinime dalyvavusių Visagino savivaldybės administracijos darbuotojų dalis</t>
  </si>
  <si>
    <t>Sudaryta nepriklausoma Visagino savivaldybės neveiksnių asmenų būklės peržiūrėjimo komisija, kuri peržiūri neveiksnaus asmens būklę, jeigu per vienus metus nuo teismo sprendimo pripažinti asmenį neveiksniu tam tikroje srityje įsiteisėjimo dienos Lietuvos Respublikos civilinio kodekso 2.10 straipsnio 4 dalyje nurodyti asmenys arba neveiksniu tam tikroje srityje pripažintas asmuo nesikreipia dėl teismo priimto sprendimo pripažinti asmenį neveiksniu tam tikroje srityje panaikinimo. Taip pat ši komisija kreipiasi į sprendimą pripažinti asmenį neveiksniu tam tikroje srityje priėmusį teismą dėl teismo sprendimo, kuriuo asmuo pripažintas neveiksniu tam tikroje srityje, peržiūrėjimo.</t>
  </si>
  <si>
    <t>Psichikos sveikatos stiprinimas – vienas iš šios Vyriausybės prioritetų, kuriems skiriamas ypatingas dėmesys, ypač siekiant sumažinti savižudybių skaičių. Visose savivaldybėse teikiamos nemokamos tęstinės psichologinės ir/ar psichoterapinės konsultacijas žmonėms su savižalos rizika. Siekiama, kad bent 10 proc. visų savivaldos gyventojų galėtų gauti ne mažiau kaip 3 nemokamas konsultacijas per metus, o per metus iš viso būtų suteikiama apie 100 tūkst. individualių ir / ar grupinių konsultacijų. Be to, numatyta iš Privalomojo sveikatos draudimo fondo lėšų apmokėti iki 5 tūkstančių asmenų su aukšta savižalos rizika vadybos atvejų kasmet.</t>
  </si>
  <si>
    <t>Ją vykdo Visagino savivaldybės administracija, programos uždaviniai:
•	darbuotojų instruktavimas;
•	darbuotojų medicininė apžiūra;
•	darbuotojų skiepijimas;
•	darbuotojų mokymas;
•	socialinėje srityje dirbančių darbuotojų draudimas.</t>
  </si>
  <si>
    <t>Atliekų, kurių turėtojo nustatyti neįmanoma arba kuris nebeegzistuoja, tvarkymas</t>
  </si>
  <si>
    <t>"Atgimimo gimnazija"</t>
  </si>
  <si>
    <t>"Verdenės" gimnazija</t>
  </si>
  <si>
    <t>"Gerosios vilties" progimnazija</t>
  </si>
  <si>
    <t>"Žiburio" pagrindinė mokykla</t>
  </si>
  <si>
    <t>Lopšelis darželis "Auksinis gaidelis"</t>
  </si>
  <si>
    <t>Lopšelis darželis "Auksinis raktelis"</t>
  </si>
  <si>
    <t>Lopšelis darželis "Ąžuoliukas"</t>
  </si>
  <si>
    <t>Lopšelis-darželis "Gintarėlis"</t>
  </si>
  <si>
    <t>Lopšelis-darželis "Kūlverstukas"</t>
  </si>
  <si>
    <t>Visagino kūrybos ir menų akademija</t>
  </si>
  <si>
    <t>Įgyvendinant šią priemonę bus užtikrinamas paviršinių nuotekų priėmimo į paviršinių nuotekų tinklus sutarčių su savivaldybės biudžetinėmis įstaigomis įgyvendinimas, t. y. abonentinio mokesčio mokėjimas UAB „Visagino būstas“.</t>
  </si>
  <si>
    <t>Projektą planuojama įgyvendinti 2021-2027 m. Europos Sąjungos investicijų programos lėšomis. Planuojama, kad šalia Gulbinės upelio bus kuriamas naujas mažaaukštės statybos gyvenamųjų namų kvartalas Visagino mieste, todėl įgyvendinus šį projektą bus sutvarkyta natūrali gamtinė aplinka, sumažintas CO2 kiekis, dėl puvimo proceso užpelkėjusiame slėnyje, mažesnis teritorijos šiukšlinimas, atsiras rekreacinės erdvės. Įgyvendinus projektą savivaldybė išsaugos Visagine mieste esančias natūralias ir pusiau natūralias teritorijas, susistiprins gamtinio karkaso teritorijų ekologinį potencialą, išsaugos  biologinę įvairovę, sumažins ekosistemos degradavimą. 2023-2024 m. planuojamas projektinių dokumentų rengimas</t>
  </si>
  <si>
    <t>R-08-01-01-01</t>
  </si>
  <si>
    <t>E-08-01-01</t>
  </si>
  <si>
    <t>R-08-01-01-02</t>
  </si>
  <si>
    <t>R-08-01-01-03</t>
  </si>
  <si>
    <t>R-08-01-01-04</t>
  </si>
  <si>
    <t>R-08-01-01-05</t>
  </si>
  <si>
    <t>R-08-01-01-06</t>
  </si>
  <si>
    <t>R-08-01-01-07</t>
  </si>
  <si>
    <t>R-08-01-01-08</t>
  </si>
  <si>
    <t>R-08-01-01-09</t>
  </si>
  <si>
    <t>R-08-01-01-10</t>
  </si>
  <si>
    <t>R-08-01-01-11</t>
  </si>
  <si>
    <t>R-08-01-01-12</t>
  </si>
  <si>
    <t>R-08-01-01-13</t>
  </si>
  <si>
    <t>Suteikta finansinė parama miško sklypų savininkams, valdytojams ir naudotojams</t>
  </si>
  <si>
    <t>Įgyvendintų projektų, atsinaujinančių išteklių energijos naudojimo, srityje skaičius</t>
  </si>
  <si>
    <t>R-08-01-01-14</t>
  </si>
  <si>
    <t>E-08-01-02</t>
  </si>
  <si>
    <t>Lėšų už paviršinių nuotekų nuotakyno sistemos tvarkymą panaudojimas</t>
  </si>
  <si>
    <t>R-08-01-02-01</t>
  </si>
  <si>
    <t>99</t>
  </si>
  <si>
    <t>E-08-01-03</t>
  </si>
  <si>
    <t>R-08-01-03-01</t>
  </si>
  <si>
    <t>Programos lėšomis įgyvendintų priemonių, skirtų gyvūnų globai, saugojimui ir populiacijos kontrolei, skaičius</t>
  </si>
  <si>
    <t>E-08-01-04</t>
  </si>
  <si>
    <t>R-08-01-04-01</t>
  </si>
  <si>
    <t>E-08-01-05</t>
  </si>
  <si>
    <t>R-08-01-05-01</t>
  </si>
  <si>
    <t>Projektas "Europe direct Visagino savivaldybėje" apivartynėms lėšoms</t>
  </si>
  <si>
    <t>E-09-01-01</t>
  </si>
  <si>
    <t>R-09-01-01-02</t>
  </si>
  <si>
    <t>R-09-01-01-03</t>
  </si>
  <si>
    <t>R-09-01-01-04</t>
  </si>
  <si>
    <t>R-09-01-01-05</t>
  </si>
  <si>
    <t>R-09-01-01-06</t>
  </si>
  <si>
    <t>R-09-01-01-08</t>
  </si>
  <si>
    <t>R-09-01-01-09</t>
  </si>
  <si>
    <t>E-09-02-01</t>
  </si>
  <si>
    <t>R-09-02-01-01</t>
  </si>
  <si>
    <t>R-09-02-01-02</t>
  </si>
  <si>
    <t>R-09-02-01-03</t>
  </si>
  <si>
    <t>Įsteigtų pramonės parkų (laisvųjų ekonominių zonų) Visagino savivaldybėje skaičius</t>
  </si>
  <si>
    <t>E-09-02-02</t>
  </si>
  <si>
    <t>R-09-02-02-01</t>
  </si>
  <si>
    <t>R-09-02-02-02</t>
  </si>
  <si>
    <t>R-09-02-02-03</t>
  </si>
  <si>
    <t>R-09-02-02-04</t>
  </si>
  <si>
    <t>Parengtų teritorijų planavimo dokumentų skaičius</t>
  </si>
  <si>
    <t>Parengtų žemės sklypų planų (kadastrinių matavimų) skaičius</t>
  </si>
  <si>
    <t xml:space="preserve">Visagino rekreacijos paslaugų centras </t>
  </si>
  <si>
    <t>Renovuoti ir įrengti sporto bei laisvalaikio aikšteles</t>
  </si>
  <si>
    <t>Pastatyta autobusų stotis su turizmo informacijos centru Visagino savivaldybėje</t>
  </si>
  <si>
    <t>Modernizuotų viešųjų pastatų skaičius</t>
  </si>
  <si>
    <t>Įrengtų ir atnaujintų vaikų žaidimų, sporto bei laisvalaikio aikštelių skaičius Visagino savivaldybėje</t>
  </si>
  <si>
    <t>Rekonstruotų pėsčiųjų  alėjų  skaičius</t>
  </si>
  <si>
    <t>Atnaujintų namų skaičius  nuo bendro nerenovuotų daugiabučių namų skaičiaus procentais</t>
  </si>
  <si>
    <t xml:space="preserve">Įrengta gatvių žymėjimo lentelių </t>
  </si>
  <si>
    <t>Įgyvendintų projektų apšvietimo srityje skaičius</t>
  </si>
  <si>
    <t>Sumontuotų elektros linijų ir elektros spintų, apskaitos skydų skaičius</t>
  </si>
  <si>
    <t>Pasirašyta pastatų šilumos sistemos ir šilumos mazgų priežiūros ir remonto sutarčių skaičius</t>
  </si>
  <si>
    <t>Atnaujintų požeminių tinklų topografinių planų skaičius</t>
  </si>
  <si>
    <t xml:space="preserve">Prižiūrimų kapinių skaičius </t>
  </si>
  <si>
    <t>Sutvarkytų išardytų nebaigtos statybos arba nereikalingų, netinkamų naudoti statinių Visagino savivaldybėje skaičius</t>
  </si>
  <si>
    <t xml:space="preserve">Inicijuotų techninių projektų rengimo skaičius </t>
  </si>
  <si>
    <t>Diegti automatizuotą gyventojų priėmimo viename langelyje prašymų formą</t>
  </si>
  <si>
    <t xml:space="preserve">Įdiegta sistema </t>
  </si>
  <si>
    <t xml:space="preserve">Administracinės naštos mažinimo priemonių planas (1 programos priedas, 01.02.02.02. priemonė) </t>
  </si>
  <si>
    <t>Atlikti Visagino savivaldybės kapinių skaitmeninimą (atliktas kapinių skaitmeninimas leis administracijai šiuolaikiškai ir greitai atsakyti į gyventojų užklausas, suteikti reikalingas paslaugas, išduoti leidimus laidoti ir kaupti visus duomenis susijusius su kapaviečių priežiūra)</t>
  </si>
  <si>
    <t xml:space="preserve">Aplinkos tvarkymo skyrius
Viešųjų pirkimų skyrius
Vidaus administravimo ir informacinių technologijų skyrius
</t>
  </si>
  <si>
    <t>Kartą per pusmetį</t>
  </si>
  <si>
    <t>Iki 2024-12-31</t>
  </si>
  <si>
    <t>Iki 2024 m. gegužės 15 d.</t>
  </si>
  <si>
    <t>Ataskaitoje pateikta informacija apie administracinės naštos mažinimo priemonių įgyvendinimą</t>
  </si>
  <si>
    <t>Centralizuotas vidaus audito skyrius 
Vidaus administravimo ir informacinių technologijų skyrius</t>
  </si>
  <si>
    <t>Pateikta informacija</t>
  </si>
  <si>
    <t>Vertinti administracinės naštos mažinimo priemonių plano vykdymą ir pateikti vidaus audito ataskaitą administracijos direktoriui</t>
  </si>
  <si>
    <t>Parengta ataskaita</t>
  </si>
  <si>
    <t>2024-2026 m.</t>
  </si>
  <si>
    <t>R-02-01-01-01</t>
  </si>
  <si>
    <t>R-02-01-01-02</t>
  </si>
  <si>
    <t>R-02-01-02-05</t>
  </si>
  <si>
    <t>R-02-01-02-08</t>
  </si>
  <si>
    <t>R-02-01-02-10</t>
  </si>
  <si>
    <t>E-02-01-03</t>
  </si>
  <si>
    <t>R-02-01-03-01</t>
  </si>
  <si>
    <t>R-02-01-03-02</t>
  </si>
  <si>
    <t>R-02-01-03-04</t>
  </si>
  <si>
    <t>E-02-02-01</t>
  </si>
  <si>
    <t>R-02-02-01-01</t>
  </si>
  <si>
    <t>Vaikų ir jaunimo vasaros poilsio organizavimas vykdant projektų konkursus, laimėjusių projektų finansavimą ir įgyvendinimo priežiūrą</t>
  </si>
  <si>
    <t>190230641</t>
  </si>
  <si>
    <t>190230443</t>
  </si>
  <si>
    <t>190231730</t>
  </si>
  <si>
    <t>190231011</t>
  </si>
  <si>
    <t>190230258</t>
  </si>
  <si>
    <t>190243280</t>
  </si>
  <si>
    <t>300135691</t>
  </si>
  <si>
    <t>190243095</t>
  </si>
  <si>
    <t>190243519</t>
  </si>
  <si>
    <t>193170510</t>
  </si>
  <si>
    <t>305632124</t>
  </si>
  <si>
    <t>300665693</t>
  </si>
  <si>
    <t>E-10-01-01</t>
  </si>
  <si>
    <t>R-10-01-01-01</t>
  </si>
  <si>
    <t>R-10-01-01-02</t>
  </si>
  <si>
    <t>R-10-01-01-03</t>
  </si>
  <si>
    <t>R-10-01-01-04</t>
  </si>
  <si>
    <t>R-10-01-02-01</t>
  </si>
  <si>
    <t>R-10-01-02-04</t>
  </si>
  <si>
    <t>R-10-01-02-06</t>
  </si>
  <si>
    <t>R-10-01-02-08</t>
  </si>
  <si>
    <t>R-10-01-02-09</t>
  </si>
  <si>
    <t>R-10-01-02-10</t>
  </si>
  <si>
    <t>R-10-01-02-11</t>
  </si>
  <si>
    <t>R-10-01-02-14</t>
  </si>
  <si>
    <t>E-10-02-03</t>
  </si>
  <si>
    <t>R-10-02-03-01</t>
  </si>
  <si>
    <t>R-10-02-03-03</t>
  </si>
  <si>
    <t>R-10-02-03-09</t>
  </si>
  <si>
    <t>R-10-02-03-11</t>
  </si>
  <si>
    <t>R-10-02-04-01</t>
  </si>
  <si>
    <t>R-10-02-04-02</t>
  </si>
  <si>
    <t>R-10-02-04-03</t>
  </si>
  <si>
    <t>R-10-02-04-04</t>
  </si>
  <si>
    <t>R-10-02-04-06</t>
  </si>
  <si>
    <t>R-10-02-04-07</t>
  </si>
  <si>
    <t>R-10-02-04-08</t>
  </si>
  <si>
    <t>E-10-02-05</t>
  </si>
  <si>
    <t>R-10-02-05-01</t>
  </si>
  <si>
    <t>R-10-02-06-01</t>
  </si>
  <si>
    <t>E-10-02-06</t>
  </si>
  <si>
    <t>E-10-02-07</t>
  </si>
  <si>
    <t>R-10-02-07-01</t>
  </si>
  <si>
    <t>E-10-03-01</t>
  </si>
  <si>
    <t>R-10-03-01-01</t>
  </si>
  <si>
    <t>R-10-03-01-03</t>
  </si>
  <si>
    <t>R-10-03-01-04</t>
  </si>
  <si>
    <t>R-10-03-01-05</t>
  </si>
  <si>
    <t>R-10-03-01-06</t>
  </si>
  <si>
    <t>R-10-03-01-07</t>
  </si>
  <si>
    <t>R-10-03-01-09</t>
  </si>
  <si>
    <t>R-10-03-01-10</t>
  </si>
  <si>
    <t>E-10-03-02</t>
  </si>
  <si>
    <t>R-10-03-02-03</t>
  </si>
  <si>
    <t>R-10-03-02-04</t>
  </si>
  <si>
    <t>E-10-03-03</t>
  </si>
  <si>
    <t>R-10-03-03-01</t>
  </si>
  <si>
    <t>E-10-03-04</t>
  </si>
  <si>
    <t>R-10-03-04-01</t>
  </si>
  <si>
    <t>E-10-03-05</t>
  </si>
  <si>
    <t>R-10-03-05-01</t>
  </si>
  <si>
    <t>2024 m. priemonės įgyvendintos 100 proc.</t>
  </si>
  <si>
    <t>Savivaldybės valdomos įmonės ar 
viešosios įstaigos pavadinimas</t>
  </si>
  <si>
    <t>Viešųjų įstaigų planuojami pasiekti pagrindiniai veiklos rodikliai ir jų reikšmės</t>
  </si>
  <si>
    <t>VšĮ Visagino graikų-romėnų imtynių centro</t>
  </si>
  <si>
    <t>Savivaldybės valdomų įmonių planuojami pasiekti pagrindiniai veiklos rodikliai ir jų reikšmės</t>
  </si>
  <si>
    <t xml:space="preserve">Atliekų, kurių turėtojo nustatyti neįmanoma arba kuris nebeegzistuoja, tvarkymas. Šioje priemonėje suplanuotos lėšos naudojamos pavojingoms atliekoms, nenaudojamoms padangoms ir kitoms atliekoms, kai nežinomas atliekų tvarkytojas arba kai atliekas būtina sutvarkyti nedelsiant, siekiant išvengti neigiamo poveikio aplinkai, tvarkyti, surinkti ir šalinti. Įgyvendinama 2022-05-30 paslaugų teikimo sutartis Nr. 5-247, sutartis galioja 36 mėn ( iki 2025-05-30) . Planuojamų įsigyti paslaugų vertė  60 500 Eur. </t>
  </si>
  <si>
    <t xml:space="preserve">Projektą planuojama įgyvendinti 2021-2027 m.  Europos Sąjungos investicijų programos lėšomis. Projekto veiklomis 2-5 stacionarių oro taršos stebėjimo vietų įrengimas. 2024-2026 m. planuojamas projektinių dokumentų rengimas. </t>
  </si>
  <si>
    <t>Įgyvendinant priemonę planuojama vykdyti aptiktų užterštų teritorijų, esančių tarp Dūkšto kelio 68 ir 76, 86 ir 90, Visagine valymą. Taip pat tvarkyti Eglinio ežero pakrantę. Įgyvendinant priemonę bus įgyvendinama 2022-12-30 paslaugų teikimo sutartis Nr. 5-635, sutartis galioja 36 mėn. (iki 2025-12-30)</t>
  </si>
  <si>
    <t>Išvalytų užterštų teritorijų kv.m.</t>
  </si>
  <si>
    <t>Įgyvendintų priemonių skaičius</t>
  </si>
  <si>
    <t>Įgyvendinant šią priemonę planuojama ;
1) Finansuoti visuomenės švietimo bei mokymo aplinkosauginius projektus.
2) Užtikrintas Lietuvos žaliųjų judėjimo Tarptautinės gamtosauginių mokyklų programos "Verdenės" gimnazijoje koordinavimas
3) Visagino savivaldybės atliekų prevencijos ir  tvarkymo 2021-2027 m. plane numatytų  visuomenės informavimo priemonių įgyvendinimas</t>
  </si>
  <si>
    <t>Įgyvendinant šią priemonę bus;
1) užtikrintas varninių paukščių gausos reguliavimo priemonių įgyvendinimas bei pagerinta aplinkos kokybė ir visuomenės saugumas, nes bus reguliuojama varninių paukščių populiacija. 
2) Sosnovskio barščio gausos reguliavimas ir naikinimas (1 ha )</t>
  </si>
  <si>
    <t>95</t>
  </si>
  <si>
    <t>Vietinės rinkliavos už komunalinių atliekų surinkimo dalis nuo apskaičiuotos, proc.</t>
  </si>
  <si>
    <t xml:space="preserve">Atliktų matavimų skaičius </t>
  </si>
  <si>
    <t>2000</t>
  </si>
  <si>
    <t>3000</t>
  </si>
  <si>
    <t xml:space="preserve">Taip </t>
  </si>
  <si>
    <t>Taip</t>
  </si>
  <si>
    <t>Įgyvendintos Lietuvos Respublikos geriamojo vandens tiekimo ir nuotekų tvarkymo įstatymo nuostatos</t>
  </si>
  <si>
    <t>Įgyvendintos Lietuvos Respublikos triukšmo valdymo įstatymo nuostatos</t>
  </si>
  <si>
    <t xml:space="preserve">Įgyvendintos  Lietuvos Respublikos gyvūnų gerovės ir apsaugos įstatymo nuostatos </t>
  </si>
  <si>
    <t xml:space="preserve">Sutvarkytų teritorijų skaičius, ha </t>
  </si>
  <si>
    <t>Įgyvendinti Lietuvos Respublikos triukšmo valdymo įstatymo nuostatas</t>
  </si>
  <si>
    <t>Įgyvendinti Lietuvos Respublikos geriamojo vandens tiekimo ir nuotekų tvarkymo įstatymo nuostatas</t>
  </si>
  <si>
    <t xml:space="preserve">Įgyvendinti Lietuvos Respublikos jaunimo politikos pagrindų įstatymo nuostatas </t>
  </si>
  <si>
    <t>Ši priemonė įgyvendinama vadovaujantis 2022-03-31 Visagino savivaldybės tarybos sprendimu Nr. TS-41 „Dėl Visagino savivaldybės tarybos 2019 m. birželio 27 d. sprendimo Nr. TS-159 „Dėl Visagino savivaldybės jaunimo savanoriškos tarnybos finansavimo tvarkos aprašo patvirtinimo“ pakeitimo“. Planuojama finansuoti ne mažiau kaip 6 jaunimo savanoriškos tarnybos programos dalyvius per metus, preliminarus 1 savanorio išlaikymas - 69 eur/1mėn * 6 mėn</t>
  </si>
  <si>
    <t>Veikiančių jaunimo atvirų erdvių, jaunimo centrų skaičius (vnt.)</t>
  </si>
  <si>
    <t>Teikti institucinę paramą įstaigoms, vykdančioms atvirąjį darbą su jaunimu, siekiant skatinti atviro darbo su jaunimu formų ir įvairovės plėtrą, ypatingą dėmesį skiriant iš švietimo sistemos iškritusiam, nedirbančiam ir perkvalifikavimo programose nedalyvaujančiam jaunimui. Projektų konkursų  finansavimo sąlygų aprašas tvirtinamas teisės aktų nustatyta tvarka.</t>
  </si>
  <si>
    <t xml:space="preserve"> Šios programos tikslas padėti jaunimui įsitraukti į darbo rinką, įgyti reikiamos patirties vasaros atostogų laikotarpiu, o darbdaviams padėti išlaikyti jaunuolius darbo vietoje.  Programa patvirtinta Visagino savivaldybės tarybos 2021 m. kovo 25 d. sprendimu Nr. TS-66 „Dėl Visagino savivaldybės jaunimo vasaros užimtumo įgyvendinimo programos patvirtinimo“. </t>
  </si>
  <si>
    <t>Planuojama skirti lėšas NVO tarybos veiklos efektyvumui užtikrinti, siekiant stiprinti nevyriausybines ir bendruomenines organizacijas, gerinti aplinką jų veiklai, remti pilietines iniciatyvas</t>
  </si>
  <si>
    <t xml:space="preserve">Įgyvendinant priemonę planuojama konkurso tvarka remti projektus, susijusius su visuomeninių organizacijų ir pilietinės bendruomenės, kitų institucijų, skatinimu, organizuojant bei vykdant nusikaltimų prevenciją ir kontrolę Visagino savivaldybėje. Projektų konkursų finansavimo sąlygų aprašas tvirtinamas teisės aktų nustayta tvarka. </t>
  </si>
  <si>
    <t xml:space="preserve">Įgyvendintų įvairių formų viešosios komunikacijos priemonių skaičius </t>
  </si>
  <si>
    <t xml:space="preserve">Užregistruotų nusikaltimų, baudžiamųjų nusižengimų skaičius, tenkantis 100 tūkst. gyventojų </t>
  </si>
  <si>
    <t>1328</t>
  </si>
  <si>
    <t>4.</t>
  </si>
  <si>
    <t>Valdymo tobulinimo 
programa (01)</t>
  </si>
  <si>
    <t xml:space="preserve">Patenkintų paraiškų proc. nuo visų gautų paraiškų </t>
  </si>
  <si>
    <t>97</t>
  </si>
  <si>
    <t>52</t>
  </si>
  <si>
    <t>Veikiančių elektromobilių greitojo įkrovimo prieigų skaičius</t>
  </si>
  <si>
    <t>Įrengta automobilių stovėjimo aikštelė</t>
  </si>
  <si>
    <t>Sutvarkytų miesto šaligatvių skaičius kv. m.</t>
  </si>
  <si>
    <t>Savivaldybės įnašo dalis, jeigu daugiabučio namo, kuriame yra savivaldybės būstas, savininkai priimtų sprendimą modernizuoti namą. Planuojama suorganizuoti bent vienus daugiabučių namų savininkų bendrijų valdymo organų mokymus (pagal bendrijų pirmininkų prašymus, pateiktus kontroliuojant valdymo organų veiklą)</t>
  </si>
  <si>
    <t>Santarvės a. reikalingas jėgos tinklo atskyrimas nuo apšvietimo tinklo. Kai būna didelė apšvietimo tinklo apkrova per šventes (naudojasi prekybininkai), išsijungia apšvietimas</t>
  </si>
  <si>
    <t>Visagino savivaldybės administracijos valdomų pastatų šilumos sistemų ir šilumos punktų priežiūra bei remontas  pagal Šilumos tinklų ir šilumos vartojimo įrenginių priežiūros (eksploatavimo) taisyklių reikalavimus</t>
  </si>
  <si>
    <t>E-10-01-02</t>
  </si>
  <si>
    <t>9</t>
  </si>
  <si>
    <t>Įgyvendinant šią priemonę planuojama, kad bus atliktas Visagino senų kapinių kelių ir laiptų remontas, Magūnų kapinių laiptų remontas.</t>
  </si>
  <si>
    <t>Kalėdinis kūrybinių darbų konkursas, Kalėdų senelio dirbtuvės</t>
  </si>
  <si>
    <t>Sekminės, Trejybės šventė ,Velykinis renginys, Joninių šventė</t>
  </si>
  <si>
    <t>2024 m. NATO ir Europos Sąjungos metai,
 Koncertas "Mažoji Dainų šventė", Paroda "Visaginas ir visaginiečiai Dainų švenčių istorijoje"</t>
  </si>
  <si>
    <t>Miesto eglės įžiebimas ir Kalėdinio laikotarpio renginiai, Eglės papuošimas</t>
  </si>
  <si>
    <t>"Lietuvos kodas" TV projektas</t>
  </si>
  <si>
    <t xml:space="preserve">Profesionalaus meno sklaidos renginiuose  dalyvavusių asmenų skaičius </t>
  </si>
  <si>
    <t xml:space="preserve">Priemonė bus įgyvendinama pagal poreikį </t>
  </si>
  <si>
    <t xml:space="preserve">Antikorupcinio švietimo renginiuose dalyvavusių asmenų skaičius </t>
  </si>
  <si>
    <t>3600</t>
  </si>
  <si>
    <t>3500</t>
  </si>
  <si>
    <t>580</t>
  </si>
  <si>
    <t>Nepasiturintiems savivaldybės gyventojams vadovaujantis Lietuvos Respublikos piniginės socialinės paramos nepasiturintiems gyventojams įstatymu – skiriama ir mokama socialinė pašalpa, kai suaugę asmenys yra išnaudoję visas kitų pajamų gavimo galimybes bei kompensuojamos būsto šildymo, geriamojo vandens ir karšto vandens išlaidos.
Vadovaujantis Lietuvos Respublikos paramos mirties atveju įstatymu mirus asmeniui mokama  laidojimo pašalpa bei parama palaikams parvežti, kuris yra lygi faktinėms palaikų parvežimo į Lietuvos Respubliką išlaidoms, bet neturi viršyti nustatyto dydžio.</t>
  </si>
  <si>
    <t>Socialinę priežiūrą šeimoms  teikia atvejo vadybininkai, socialiniai darbuotojai ir  individualios priežiūros darbuotojai.</t>
  </si>
  <si>
    <t xml:space="preserve">Vadovaujantis Lietuvos Respublikos socialinės paramos mokiniams įstatymu mokiniams, kurių vidutinės bendrai gyvenančių asmenų pajamos vienam asmeniui per mėnesį mažesnės kaip 1,5 VRP, išimties atvejais mažesnės kaip 2 VRP arba 2,5 VRP, skiriamas nemokamas maitinimas mokykloje. Įgyvendinant šią priemonę dalyvauja: lopšelis-darželis „Auksinis raktelis“, lopšelis-darželis „Kūlverstukas“, lopšelis-darželis „Gintarėlis“, lopšelis-darželis „Ąžuoliukas“, Visagino „Žiburio“ pagrindinė mokykla, Visagino „Atgimimo“ gimnazija, Visagino Draugystės progimnazija, Visagino „Gerosios vilties“ progimnazija, Visagino „Verdenės“ gimnazija.  Mokinai, kurie mokosi mokyklose pagal priešmokyklinio ugdymo programą ir pagal pradinio ugdymo programą pirmoje ir antroje klasėse, turi teisę į nemokamus pietus nevertinant pajamų. </t>
  </si>
  <si>
    <t>Vadovaujantis Lietuvos Respublikos socialinės paramos mokiniams įstatymu, mokiniams, kurių vidutinės bendrai gyvenančių asmenų pajamos vienam asmeniui per mėnesį mažesnės kaip 1,5 VRP, išimties atvejais mažesnės kaip 2 arba 2,5 VRP, skiriama 2 BSI dydžio parama mokinio reikmenims įsigyti.</t>
  </si>
  <si>
    <t>Vykdant valstybinę (valstybės perduotą savivaldybėms) funkciją, susijusią su socialinės globos teikimo asmenims su sunkia negalia organizavimu, kompensuojamos socialinės globos asmenims su sunkia negalia išlaidos</t>
  </si>
  <si>
    <t>107</t>
  </si>
  <si>
    <t>Savivaldybės neįgaliųjų ir pagyvenusių žmonių dalyvavimo visuomeniniame gyvenime užtikrinimas, renginių, skirtų pagerbti pagyvenusį ir neįgalų žmogų, organizavimas.</t>
  </si>
  <si>
    <t xml:space="preserve">Savivaldybės neįgaliųjų ir pagyvenusių žmonių dalyvavimo visuomeniniame gyvenime užtikrinimas (siekiama suteikti galimybę palaikyti fizinį aktyvumą, gerinti sveikatą suteikiant galimybę naudotis sveikatą stiprinančiomis vandens procedūromis). Už šios priemonės įgyvendinimą atsakingas Visagino socialinių paslaugų centras. </t>
  </si>
  <si>
    <t>Visagino savivaldybės taryba 2017 m. gegužės 31 d. sprendimu Nr. TS-96 patvirtino Asmens palaikų laidojimo iš Visagino savivaldybės biudžeto lėšų tvarkos aprašą ir 2019 m. gruodžio 19 d. sprendimu Nr. TS-297 Žmogaus palaikų gabenimo, saugojimo ir nenustatytos tapatybės žmogaus palaikų laidojimo organizavimo Visagino savivaldybėje tvarkos aprašą. Vadovaujantis šių aprašų nuostatomis Visagino savivaldybės administracija organizuoja ir apmoka mirusiųjų vežimą į  teismo medicinos ekspertizę bei atskirais atvejais ir už palaikų laidojimą.</t>
  </si>
  <si>
    <t>Ši priemonė įgyvendinama vadovaujantis Lietuvos Respublikos socialinės integracijos įstatymo 25 (1) straipsnio 4 punktu, kuris numato, kad „už asmeninės pagalbos teikimo organizavimą ir jos kokybės užtikrinimą atsako savivaldybių institucijos“.Įgyvendinant šią priemonę, asmenims, kuriems Lietuvos Respublikos neįgaliųjų socialinės integracijos įstatymo nustatyta tvarka nustatytas neįgalumo lygis arba 55 procentų ir mažesnis darbingumo lygis, arba specialiųjų poreikių lygis, teisės aktų nustatyta tvarka nustačius asmeninės pagalbos poreikį, teikiama individuali pagalba namuose ir viešojoje aplinkoje (palydint ir komunikuojant), kuri padės jam gyventi savarankiškai ir veikti visose gyvenimo srityse.</t>
  </si>
  <si>
    <t>Socialinės reabilitacijos neįgaliesiems bendruomenėje paslaugas teikia tik akredituotos socialinių paslaugų įstaigos. Šiuo metu Visagino savivaldybėje akredituotas socialinės reabilitacijos neįgaliesiems bendruomenėje paslaugas gali teikti 3 nevyriausybinės organizacijos, su kuriomis planuojama sudaryti socialinės reabilitacijos neįgaliesiems bendruomenėje paslaugų teikimo ir finansavimo sutartis.</t>
  </si>
  <si>
    <t>Užtikrinant vaikams, augantiems socialinę riziką patiriančiose šeimose, socialinių paslaugų teikimą teikiamos socialinės priežiūros paslaugos vaikų dienos centruose. Visagino savivaldybėje veikia 3 vaikų dienos centrai, kuriuose įsteigta po 25 vietas.</t>
  </si>
  <si>
    <t>6000</t>
  </si>
  <si>
    <t>5500</t>
  </si>
  <si>
    <t>5000</t>
  </si>
  <si>
    <t xml:space="preserve">Mažas pajamas turinčių šeimų, gaunančių būsto šildymo išlaidų ir išlaidų karštam vandeniui kompensacijas, skaičius   </t>
  </si>
  <si>
    <t>Socialinių išmokų ir kompensacijų skyrimas, mokėjimas ir administravimas</t>
  </si>
  <si>
    <t>90</t>
  </si>
  <si>
    <t>Vaikų skaičius (VSPC)</t>
  </si>
  <si>
    <t xml:space="preserve">Klientų skaičius </t>
  </si>
  <si>
    <t>26</t>
  </si>
  <si>
    <t>Teikiamų socialinių paslaugų rūšių (bendrųjų socialinių paslaugų, socialinės priežiūros paslaugų, socialinės globos paslaugų ir kt. ) skaičius (vnt.)</t>
  </si>
  <si>
    <t>Socialinės paramos gyventojams teikimo laiku užtikrinimas</t>
  </si>
  <si>
    <t>E-06-02-01</t>
  </si>
  <si>
    <t>suagusių neįgalijų</t>
  </si>
  <si>
    <t>baseinas</t>
  </si>
  <si>
    <t>NVŠ</t>
  </si>
  <si>
    <t xml:space="preserve">Paslaugų intelekto ir (ar) psichikos negalią turintiems asmenims vietų skaičius naujoje ar modernizuotoje infrastruktūroje, skaičius </t>
  </si>
  <si>
    <t>46</t>
  </si>
  <si>
    <t xml:space="preserve">Asmenų, turinčių intelekto ir (ar) psichikos negalią, gavusių paslaugas naujoje ar modernizuotoje infrastruktūroje skaičius per metus, asmenys per metus </t>
  </si>
  <si>
    <t>Naujų arba modernizuotų socialinių būstų talpumas, asmenys</t>
  </si>
  <si>
    <t>P-06-01-03-12</t>
  </si>
  <si>
    <t>75</t>
  </si>
  <si>
    <t xml:space="preserve">Naujų arba modernizuotų socialinių būstų naudotojų skaičius per metus, asmenys </t>
  </si>
  <si>
    <t>Nuo tikslinės grupės</t>
  </si>
  <si>
    <t>79,31</t>
  </si>
  <si>
    <t>PV-06-01-03-12</t>
  </si>
  <si>
    <t>R-10-02-05-02</t>
  </si>
  <si>
    <t>315 724,76</t>
  </si>
  <si>
    <t>Surinktos atskirai išrūšiuotos atliekos, tonos per metus</t>
  </si>
  <si>
    <t>4505</t>
  </si>
  <si>
    <t>Įgyvendintos viešinimo kampanijos atliekų prevencijos ir tvarkymo temomis, skaičius</t>
  </si>
  <si>
    <t>R-08-01-01-15</t>
  </si>
  <si>
    <t>1764455,99</t>
  </si>
  <si>
    <t>529</t>
  </si>
  <si>
    <t xml:space="preserve"> Šią priemonę įgyvendinant dalyvauja Rokiškio rajono savivaldybės visuomenės sveikatos biuras ir visos savivaldybės bendrojo ugdymo mokyklos bei lopšeliai-darželiai. 
Lietuvos Respublikos visuomenės sveikatos priežiūros įstatymas nustato, kad savivaldybė privalo vykdyti visuomenės sveikatos stebėseną (monitoringą), visuomenės sveikatos stiprinimą bendruomenėje, stiprinti sveikos gyvensenos įgūdžius bendruomenėje, įtraukiant į šią veiklą bendruomenę ir socialinius partnerius, vaikų ir jaunimo visuomenės sveikatos priežiūrą, organizuoti alkoholio, tabako ir psichoaktyviųjų medžiagų vartojimo profilaktiką, lėtinių neinfekcinių ligų, nelaimingų atsitikimų ir traumų profilaktiką, užkrečiamųjų ligų profilaktiką, užtikrinti savižudybių prevenciją, dalyvauti vykdant psichikos sveikatos stiprinimo veiklą ir susirgimų profilaktiką, vykdyti sanitarinių apsaugos zonų įgyvendinimo priežiūrą, atlikti savivaldybės institucijų sprendimų projektų poveikio visuomenės sveikatai vertinimą ir pan.</t>
  </si>
  <si>
    <t>MK</t>
  </si>
  <si>
    <t xml:space="preserve">Švietimo pagalbos tarnyba </t>
  </si>
  <si>
    <t>E-02-01-01</t>
  </si>
  <si>
    <t>Formaliojo ir neformaliojo švietimo paslaugų teikėjų (įstaigų, organizacijų, fizinių asmenų) skaičius</t>
  </si>
  <si>
    <t>Mokinių skaičius bendrojo ugdymo (toliau – BU) mokyklose</t>
  </si>
  <si>
    <t>Mokinių skaičius ikimokyklinio ugdymo įstaigose</t>
  </si>
  <si>
    <t>Mokinių skaičius neformaliojo švietimo įstaigose</t>
  </si>
  <si>
    <t>Ikimokykliniame ir priešmokykliniame ugdyme dalyvaujančių 3–5 metų vaikų dalis</t>
  </si>
  <si>
    <t>Savivaldybės mokyklose ugdomų 3–5 metų vaikų, kurių deklaruota gyvenamoji vieta kitoje savivaldybėje, dalis</t>
  </si>
  <si>
    <t>Neformaliojo švietimo programų teikėjų skaičius savivaldybėje</t>
  </si>
  <si>
    <t>Vienai sąlyginei mokytojo pareigybei tenkančių mokinių skaičius BU mokyklose</t>
  </si>
  <si>
    <t>Bendrojo ugdymo mokyklų 1–8 klasių komplektų, kurie yra jungtiniai, dalis (neįskaičiuojant specialiųjų klasių / grupių)</t>
  </si>
  <si>
    <t>Bendrojo ugdymo mokyklų klasių komplektų, kuriuose yra mažiau kaip 8 mokiniai, dalis (neįskaičiuojant specialiųjų klasių / grupių)</t>
  </si>
  <si>
    <t>Naujai komplektuojamų priešmokyklinio ugdymo grupių, kuriose yra ne daugiau kaip 20 mokinių, dalis (neįskaičiuojant specialiųjų klasių / grupių)</t>
  </si>
  <si>
    <t>Naujai komplektuojamų bendrojo ugdymo mokyklų bendrosios paskirties 1 klasių komplektų, kuriuose yra ne daugiau kaip 24 mokiniai, dalis (neįskaičiuojant specialiųjų klasių / grupių) nuo bendro visų klasių / grupių skaičiaus</t>
  </si>
  <si>
    <t>bendrojo ugdymo mokyklose</t>
  </si>
  <si>
    <t>ikimokyklinio ugdymo įstaigose</t>
  </si>
  <si>
    <t>neformalaus švietimo įstaigose</t>
  </si>
  <si>
    <t>Rodiklio pavadinimas</t>
  </si>
  <si>
    <t>Duomenų teikimo data</t>
  </si>
  <si>
    <t>Duomenų šaltinis</t>
  </si>
  <si>
    <t>Demografiniai rodikliai</t>
  </si>
  <si>
    <t>Gimimų skaičius Visagino savivaldybėje (skaičiuojant tik gimusius Lietuvoje)</t>
  </si>
  <si>
    <t>Sausio 1 d.</t>
  </si>
  <si>
    <t>Skaičius</t>
  </si>
  <si>
    <t>Socialiniai rodikliai</t>
  </si>
  <si>
    <t>2.1.</t>
  </si>
  <si>
    <t>Socialinės rizikos šeimų, auginančių vaikus, skaičius</t>
  </si>
  <si>
    <t>Spalio 1 d.</t>
  </si>
  <si>
    <t>Socialinės paramos skyrius</t>
  </si>
  <si>
    <t>2.2.</t>
  </si>
  <si>
    <t>Vaikų, augančių socialinės rizikos šeimose, skaičius</t>
  </si>
  <si>
    <t>2.3.</t>
  </si>
  <si>
    <t>Vaikų, gaunančių nemokamą maitinimą, skaičius</t>
  </si>
  <si>
    <t>2.4.</t>
  </si>
  <si>
    <t>Pavežamų bendrojo ugdymo mokyklų mokinių skaičius</t>
  </si>
  <si>
    <t>Vietinio ūkio valdymo ir statybos skyrius</t>
  </si>
  <si>
    <t>Švietimo aplinkos rodikliai</t>
  </si>
  <si>
    <t>3.1.</t>
  </si>
  <si>
    <t>Rugsėjo 1 d.</t>
  </si>
  <si>
    <t>Švietimo ir mokslo institucijų registras (toliau – ŠMIR)</t>
  </si>
  <si>
    <t>3.2.</t>
  </si>
  <si>
    <t>ŠMIR</t>
  </si>
  <si>
    <t>3.3.</t>
  </si>
  <si>
    <t>Švietimo valdymo informacinė sistema (toliau – ŠVIS)</t>
  </si>
  <si>
    <t>3.4.</t>
  </si>
  <si>
    <t>ŠVIS</t>
  </si>
  <si>
    <t>3.5.</t>
  </si>
  <si>
    <t>ŠVIS, Mokinių registras (toliau – MR)</t>
  </si>
  <si>
    <t>3.6.</t>
  </si>
  <si>
    <t>ŠVIS, Pedagogų registras (toliau – PR)</t>
  </si>
  <si>
    <t>3.7.</t>
  </si>
  <si>
    <t>Procentai</t>
  </si>
  <si>
    <t>3.8.</t>
  </si>
  <si>
    <t>3.9.</t>
  </si>
  <si>
    <t>3.10.</t>
  </si>
  <si>
    <t>Personalo rodikliai</t>
  </si>
  <si>
    <t>4.1.</t>
  </si>
  <si>
    <t>Pedagogų registras, ŠVIS</t>
  </si>
  <si>
    <t>4.1.1.</t>
  </si>
  <si>
    <t>4.1.2.</t>
  </si>
  <si>
    <t>4.1.3.</t>
  </si>
  <si>
    <t>4.2.</t>
  </si>
  <si>
    <t>Daugiau kaip 2 metų pedagoginio darbo stažą turinčių darbuotojų dalis</t>
  </si>
  <si>
    <t>4.2.1.</t>
  </si>
  <si>
    <t>4.2.2.</t>
  </si>
  <si>
    <t>4.2.3.</t>
  </si>
  <si>
    <t>4.3.</t>
  </si>
  <si>
    <t>Švietimo įstaigų, kuriose nėra nuolatinio vadovo daugiau kaip 12 mėnesių, dalis nuo bendro švietimo įstaigų skaičiaus</t>
  </si>
  <si>
    <t>Švietimo, kultūros, sporto ir valstybinės kalbos kontrolės skyrius</t>
  </si>
  <si>
    <t>4.4.</t>
  </si>
  <si>
    <t>PR, Finansų ir biudžeto skyrius</t>
  </si>
  <si>
    <t>Ikimokyklinio ugdymo rodikliai</t>
  </si>
  <si>
    <t>5.1.</t>
  </si>
  <si>
    <t>5.2.</t>
  </si>
  <si>
    <t>5.3.</t>
  </si>
  <si>
    <t>Pagalbos mokiniui teikimo rodikliai</t>
  </si>
  <si>
    <t>6.1.</t>
  </si>
  <si>
    <t>6.2.</t>
  </si>
  <si>
    <t>6.3.</t>
  </si>
  <si>
    <t>Mokinių registras</t>
  </si>
  <si>
    <t>6.4.</t>
  </si>
  <si>
    <t>Mokinių, turinčių specialiųjų ugdymosi poreikių,  ugdomų integruotai bendrosios paskirties mokyklose, dalis</t>
  </si>
  <si>
    <t>6.5.</t>
  </si>
  <si>
    <t>Negalią turinčių mokinių dalis nuo mokinių, turinčių specialiųjų ugdymosi poreikių, ugdomų integruotai bendrosios paskirties mokyklose</t>
  </si>
  <si>
    <t>Neformalaus švietimo ir vaikų vasaros užimtumo rodikliai</t>
  </si>
  <si>
    <t>7.1.</t>
  </si>
  <si>
    <t>Neformaliojo švietimo veikloje dalyvaujančių mokinių dalis</t>
  </si>
  <si>
    <t>Mokinių registras; ŠVIS</t>
  </si>
  <si>
    <t>7.2.</t>
  </si>
  <si>
    <t>Bent vienoje neformalaus švietimo programoje dalyvaujančių bendrojo ugdymo mokyklų mokinių skaičius</t>
  </si>
  <si>
    <t>7.3.</t>
  </si>
  <si>
    <t>Bent vienoje NVŠ tikslinio finansavimo (valstybės biudžeto lėšų) programoje dalyvaujančių BU mokyklų mokinių skaičius</t>
  </si>
  <si>
    <t>Mokinių registras NVŠ finansavimo sritis</t>
  </si>
  <si>
    <t>7.4.</t>
  </si>
  <si>
    <t>Programų, įgyvendintų organizuojant vaikų vasaros poilsį, skaičius</t>
  </si>
  <si>
    <t>Administracijos direktoriaus įsakymu patvirtintas programų sąrašas; Mokinių registras; programų vykdytojų ataskaitos</t>
  </si>
  <si>
    <t>7.5.</t>
  </si>
  <si>
    <t>Mokinių, dalyvavusių vaikų vasaros poilsio programose, skaičius</t>
  </si>
  <si>
    <t>Švietimo rezultatų rodikliai</t>
  </si>
  <si>
    <t>8.1.</t>
  </si>
  <si>
    <t>Pagrindinio ugdymo pasiekimų patikrinimo metu bent pagrindinį mokymosi pasiekimų lygį pasiekusių mokinių dalis (lietuvių kalba, matematika)</t>
  </si>
  <si>
    <t>Švietimo duomenų perdavimo sistema (toliau – KELTAS)</t>
  </si>
  <si>
    <t>8.2.</t>
  </si>
  <si>
    <t>Tris ir daugiau valstybinių brandos egzaminų išlaikiusių abiturientų dalis</t>
  </si>
  <si>
    <t>KELTAS</t>
  </si>
  <si>
    <t>Švietimo pagalbos specialistų, tenkančių 100-ui bendrojo ugdymo mokyklų mokinių</t>
  </si>
  <si>
    <t>E-02-01-02</t>
  </si>
  <si>
    <t>P-02-01-03-03</t>
  </si>
  <si>
    <t>Naujos arba modernizuotos švietimo infrastruktūros mokymo klasių talpumas, asmenys</t>
  </si>
  <si>
    <t>Naujos arba modernizuotos švietimo infrastruktūros naudotojų skaičius per metus</t>
  </si>
  <si>
    <t>933</t>
  </si>
  <si>
    <t>33</t>
  </si>
  <si>
    <t>Naujos arba modernizuotos švietimo infrastruktūros mokymo klasių talpumas, skaičius</t>
  </si>
  <si>
    <t xml:space="preserve">Rinkinių, eksponatų skaičiaus muziejaus fonde didėjimas, lyginant su praėjusiais metais, proc. </t>
  </si>
  <si>
    <t xml:space="preserve">Liaudies dainų kolektyvų koncertas, vainikų pynimo edukacija. Tradicijų išlaikimas ir informavimas, skirta šeimoms (T) </t>
  </si>
  <si>
    <t>Lietuvos liaudies meno paroda - konkursas "Aukso vainikas",
 Lietuvos vaikų ir jaunimo liaudies meno paroda - konkursas "Sidabro vainikėlis" , Lietuvių bendruomenės renginys "Kaimynėli būki sveikas", Tarptautinis tautinių kultūrų festivalis "Rudeninės". Taip pat Etniniai-pažintiniai renginiai, tradicinio muzikavimo kursai (projekto sekmės atveju).</t>
  </si>
  <si>
    <t>Velykinių kompozicijų kūrimas, dirbtuvių organizavimas suaugusiems (T), Tarptautinė vaikų gynimo diena, kūribinės dirbtuvės šeimoms (T)</t>
  </si>
  <si>
    <t>Įgyvendinant šią priemonę administruojamas Visagino savivaldybės  nematerialaus kultūros paveldo vertybių sisteminis sąrašas su surinktais ir nuolat atnaujinamais dabarties ir praeities duomenimis: aprašymais, vaizdo ir garso medžiaga. Organizuojama nematerialaus kultūros paveldo sklaida, inicijuojami projektai, bendradarbiavimas.</t>
  </si>
  <si>
    <t>Profesionalaus meno sklaida, menininkų rezidencijos, parodos. Metų nominacijų šventė "Mano miestas - Visaginas", Meno kolektyvų jubiliejai: Rusų folkloro ansamblis "Bylina" ir vaikų rusų folkloro sansamblis "Žavoronok" - 30 m.; Folkloro ansamblis "Krusnė" - 15 m.; senjorų choras "Melodija" - 25 m.; Vyresniųjų liaudiškų šokių grupė "Gervė" - 15 m. Studijos: dekupažas - 15 m., mezgimas - 15 m.</t>
  </si>
  <si>
    <t>Visagino erdvių festivalis, Šiuolaikinio cirko festivalis "Naujojo cirko stotelė", Tarptautinis monospektaklių festivalis „Atspindys“, Senjorų šokių festivalis "Laiko karoliai"</t>
  </si>
  <si>
    <t>Laisvės gynėjų diena, Lietuvos valstybės atkūrimo diena, Lietuvos nepriklausomybės atkūrimo diena, Liepos 6-oji – Valstybės diena</t>
  </si>
  <si>
    <t>Foto paroda "Dainų švenčių akimirkos, Mažoji Dainų šventė, Vaikų darbų paroda "100 metų dainuojanti ir šokanti Lietuva"</t>
  </si>
  <si>
    <t>NATO ir Europos Sąjungos metams Protmūšis, NATO ir Europos Sąjungos metams Viktorina ,Tiesioginė Dainų šventės transliacija ir kolektyvų
pristatymas miestiečiams</t>
  </si>
  <si>
    <t>Įgyvendinant šią priemonę bus organizuojami Gatvės muzikos dienos renginiai, susitikimai su vaikų rašytojais, Poezijos šventė, Kultūros nakties renginiai, kiti renginiai pagal poreikį.</t>
  </si>
  <si>
    <t>1.4. Europos Sąjungos ir kitos tarptautinės finansinės paramos lėšos (ES, EGDAP)</t>
  </si>
  <si>
    <t>Fizinio aktyvumo ir sporto 
plėtros programa (03)</t>
  </si>
  <si>
    <t>Gyventojų kultūrinio aktyvumo skatinimo ir identiteto stiprinimo programa (04)</t>
  </si>
  <si>
    <t>Bendruomeniškumo 
skatinimo programa (05)</t>
  </si>
  <si>
    <t>Socialinės paramos programa (06)</t>
  </si>
  <si>
    <t>Sveikatos apsaugos paslaugų kokybės gerinimo programa (07)</t>
  </si>
  <si>
    <t>Aplinkos apsaugos programa (08)</t>
  </si>
  <si>
    <t>Ekonominės plėtros programa (09)</t>
  </si>
  <si>
    <t>Viešosios infrastruktūros 
programa (10)</t>
  </si>
  <si>
    <t>Gerinti  teikiamų paslaugų kokybę, didinti jų prieinamumą ir patrauklumą, tinkamai organizuojant savivaldybės administravimo subjektams  priskirtų funkcijų įgyvendinimą</t>
  </si>
  <si>
    <t xml:space="preserve">Tarybos narių veiklos organizavimas </t>
  </si>
  <si>
    <t>31</t>
  </si>
  <si>
    <t>32</t>
  </si>
  <si>
    <t>66</t>
  </si>
  <si>
    <t>565</t>
  </si>
  <si>
    <t>627</t>
  </si>
  <si>
    <t>628</t>
  </si>
  <si>
    <t>4,7</t>
  </si>
  <si>
    <t>4,6</t>
  </si>
  <si>
    <t>4,5</t>
  </si>
  <si>
    <t>Panaudota dotacijos dalis nuo visų savivaldybei priskirtų archyvinių dokumentų tvarkymo funkcijai atlikti skirtų asignavimų dalies (procentai)</t>
  </si>
  <si>
    <t>Panaudota dotacijos dalis, nuo visų socialinių išmokų ir kompensacijų administravimui numatytų lėšų, procentai</t>
  </si>
  <si>
    <t>Pateikta duomenų Suteiktos valstybės
pagalbos registrui (proc. registre
įregistruotos valstybės ir nereikšmingos pagalbos nuo visos suteiktos valstybės ir nereikšmingos pagalbos)</t>
  </si>
  <si>
    <t>Panaudota dotacijos dalis, nuo visų socialinės paramos mokiniams administravimui numatytų lėšų procentais</t>
  </si>
  <si>
    <t>Panaudota dotacijos dalis, nuo visų socialinės paramos administravimui (socialinei globai asmenims su sunkia negalia) numatytų lėšų procentais</t>
  </si>
  <si>
    <t>Panaudota dotacijos dalis, nuo visų būsto nuomos ir išperkamosios būsto nuomos mokesčių dalies kompensacijų administravimui numatytų lėšų procentais</t>
  </si>
  <si>
    <t>86</t>
  </si>
  <si>
    <t>87</t>
  </si>
  <si>
    <t>Panaudota dotacijos dalis, nuo visų Visagino savivaldybės užimtumo didinimo programos administravimui numatytų lėšų, procentai</t>
  </si>
  <si>
    <t>Suderintų į savivaldybės erdvinių duomenų rinkinį integruotų planų skaičius, vnt.</t>
  </si>
  <si>
    <t>Perduota Aplinkos ministerijai</t>
  </si>
  <si>
    <t>Finansuotų tarpinstitucinio bendradarbiavimo
koordinatorių pareigybių skaičius savivaldybėse (vienetai)</t>
  </si>
  <si>
    <t>Savivaldybės pasirengimo reaguoti į ekstremalias situacijas lygis, ne žemesnis kaip, proc.</t>
  </si>
  <si>
    <t>Panaudotos mero rezervo lėšos esant poreikiui, nuo planuotų panaudoti, procentai</t>
  </si>
  <si>
    <t xml:space="preserve">Užtikrintas </t>
  </si>
  <si>
    <t>Užtikrintas</t>
  </si>
  <si>
    <t>E-01-01-05</t>
  </si>
  <si>
    <t>E-01-01-06</t>
  </si>
  <si>
    <t>Savivaldybės administracinių paslaugų, 
teikiamų elektroniniu būdu ne žemesniu kaip 4 brandos lygiu, dalis nuo visų savivaldybės teikiamų administracinių paslaugų (proc.)</t>
  </si>
  <si>
    <t>E-01-01-07</t>
  </si>
  <si>
    <t>E-01-01-08</t>
  </si>
  <si>
    <t>Parengtų ir viešinamų strateginių dokumentų  skaičius</t>
  </si>
  <si>
    <t>Tarptautiško, įtraukiančio, atviro ir
 draugiško miesto įvaizdžio formavimas ir palaikymas</t>
  </si>
  <si>
    <t>Įgyvendinant šią priemonę  numatoma reprezentuoti savivaldybę įvairiuose renginiuose bei parodose, įvairių renginių metu.</t>
  </si>
  <si>
    <t xml:space="preserve">1 programa </t>
  </si>
  <si>
    <t xml:space="preserve">2 programa </t>
  </si>
  <si>
    <t xml:space="preserve">3 programa </t>
  </si>
  <si>
    <t>4 programa</t>
  </si>
  <si>
    <t>5 programa</t>
  </si>
  <si>
    <t>7 programa</t>
  </si>
  <si>
    <t xml:space="preserve">8 programa </t>
  </si>
  <si>
    <t xml:space="preserve">9 programa </t>
  </si>
  <si>
    <t xml:space="preserve">10 programa </t>
  </si>
  <si>
    <t>Programos uždavinio, 
priemonės kodas ir požymis</t>
  </si>
  <si>
    <t>Uždavinio, priemonės pavadinimas, finansavimo šaltiniai</t>
  </si>
  <si>
    <t>01.01.01. (T)</t>
  </si>
  <si>
    <t>01.01.01.01 (TP)</t>
  </si>
  <si>
    <t>01.01.01.02 (TP)</t>
  </si>
  <si>
    <t>01.01.01.03 (TP)</t>
  </si>
  <si>
    <t>01.01.01.04 (TP)</t>
  </si>
  <si>
    <t>01.01.02.01 (TP)</t>
  </si>
  <si>
    <t>01.01.02 (T)</t>
  </si>
  <si>
    <t>01.01.03 (T)</t>
  </si>
  <si>
    <t>01.01.04. (T)</t>
  </si>
  <si>
    <t>01.01.05. (T)</t>
  </si>
  <si>
    <t>01.02.02. (T)</t>
  </si>
  <si>
    <t>01.02.03. (T)</t>
  </si>
  <si>
    <t>01.02.04. (T)</t>
  </si>
  <si>
    <t>Iš jo:
1.1. savivaldybės biudžeto lėšos (nuosavos, be ankstesnių metų likučio)</t>
  </si>
  <si>
    <t>Iš jų: regioninių pažangos priemonių lėšos</t>
  </si>
  <si>
    <t>2025 m. asignavimai ir kitos lėšos, tūkst. Eur</t>
  </si>
  <si>
    <t>2024  m.asignavimai ir kitos lėšos, tūkst. Eur</t>
  </si>
  <si>
    <t>2026 m.asignavimai ir kitos lėšos, tūkst. Eur</t>
  </si>
  <si>
    <t>Savivaldybės strateginio plėtros plano priemonės kodas</t>
  </si>
  <si>
    <t>Užtikrinti efektyvų savivaldybei nuosavybės teise priklausančio nekilnojamojo  turto naudojimą, įmonių bei įstaigų valdymą</t>
  </si>
  <si>
    <t xml:space="preserve">Priimtų teisės aktų skaičius </t>
  </si>
  <si>
    <t>360</t>
  </si>
  <si>
    <t>Įdiegtų arba atnaujintų informacinių technologijų sistemų skaičius</t>
  </si>
  <si>
    <t>priežiūra ?????</t>
  </si>
  <si>
    <t>Pasirašytų naujų  tarptautinio bendradarbiavimo sutarčių skaičius</t>
  </si>
  <si>
    <t>02.01.01.01. (TP)</t>
  </si>
  <si>
    <t>02.01.01.02. (TP)</t>
  </si>
  <si>
    <t>02.01.02.01. (TP)</t>
  </si>
  <si>
    <t>02.01.02.02. (TP)</t>
  </si>
  <si>
    <t>02.01.02.03. (TP)</t>
  </si>
  <si>
    <t>02.01.02.04. (TP)</t>
  </si>
  <si>
    <t>02.01.02.05. (TP)</t>
  </si>
  <si>
    <t>02.01.02.08. (TP)</t>
  </si>
  <si>
    <t>02.01.02.09. (TP)</t>
  </si>
  <si>
    <t>02.01.03.03 (PP)</t>
  </si>
  <si>
    <t>02.01.03.04 (PP)</t>
  </si>
  <si>
    <t>02.01.03.05 (PP)</t>
  </si>
  <si>
    <t>02.02.01.01. (TP)</t>
  </si>
  <si>
    <t>Savivaldybės strateginio
 plėtros plano priemonės kodas</t>
  </si>
  <si>
    <t>Sukurti įtraukias, tinklaveiką ir 
socialines inovacijas skatinančias, kiekvieno mokinio geresnius pasiekimus lemiančias ir šiuolaikiškas kokybiško ugdymo(si) sąlygas</t>
  </si>
  <si>
    <t>02.01.01. (T)</t>
  </si>
  <si>
    <t>02.01.02. (T)</t>
  </si>
  <si>
    <t>02.02.01. (T)</t>
  </si>
  <si>
    <t>03.01.01. (T)</t>
  </si>
  <si>
    <t>03.01.01.01. (TP)</t>
  </si>
  <si>
    <t>03.01.02. (T)</t>
  </si>
  <si>
    <t>03.01.02.01. (TP)</t>
  </si>
  <si>
    <t>03.01.02.02. (TP)</t>
  </si>
  <si>
    <t>03.01.02.03. (TP)</t>
  </si>
  <si>
    <t>03.01.02.04. (TP)</t>
  </si>
  <si>
    <t>03.01.02.06 (TP)</t>
  </si>
  <si>
    <t>03.01.02.08. (TP)</t>
  </si>
  <si>
    <t>04.01.01. (T)</t>
  </si>
  <si>
    <t>04.01.01.01. (TP)</t>
  </si>
  <si>
    <t>04.01.01.02. (TP)</t>
  </si>
  <si>
    <t>04.02.01. (T)</t>
  </si>
  <si>
    <t>Sąlygų Dainų švenčių tradicijos tęstinumui Visagino savivaldybėje sudarymas, mėgėjų meno kolektyvų pasirengimo ir dalyvavimo Dainų šventėse,  vietiniuose, regioniniuose, respublikiniuose ir tarptautiniuose renginiuose užtikrinimas, mėgėjų meną populiarinančių renginių organizavimas, tautinių mažumų kultūrų įvairovės pristatymas</t>
  </si>
  <si>
    <t>04.02.01.01. (TP)</t>
  </si>
  <si>
    <t>04.02.01.02. (TP)</t>
  </si>
  <si>
    <t>04.02.01.03. (TP)</t>
  </si>
  <si>
    <t>04.02.01.04. (TP)</t>
  </si>
  <si>
    <t>04.02.02.01. (TP)</t>
  </si>
  <si>
    <t>04.02.02.02. (TP)</t>
  </si>
  <si>
    <t>04.02.02.03. (TP)</t>
  </si>
  <si>
    <t>04.02.02.04. (TP)</t>
  </si>
  <si>
    <t>04.02.02.05. (TP)</t>
  </si>
  <si>
    <t>04.02.03.01. (TP)</t>
  </si>
  <si>
    <t>04.02.03.02. (TP)</t>
  </si>
  <si>
    <t>04.02.04. (T)</t>
  </si>
  <si>
    <t>04.02.04.01. (TP)</t>
  </si>
  <si>
    <t>04.02.04.02. (TP)</t>
  </si>
  <si>
    <t>04.02.04.03. (TP)</t>
  </si>
  <si>
    <t>2026 m. asignavimai ir kitos lėšos, tūkst. Eur</t>
  </si>
  <si>
    <t>05.01.01.01 (TP)</t>
  </si>
  <si>
    <t>05.01.01.02. (TP)</t>
  </si>
  <si>
    <t>05.01.01.03. (TP)</t>
  </si>
  <si>
    <t>05.01.01.04. (TP)</t>
  </si>
  <si>
    <t>05.01.01.05. (TP)</t>
  </si>
  <si>
    <t>05.01.01. (T)</t>
  </si>
  <si>
    <t>05.02.01. (T)</t>
  </si>
  <si>
    <t>05.02.01.01. (TP)</t>
  </si>
  <si>
    <t>05.02.01.02. (TP)</t>
  </si>
  <si>
    <t>05.02.01.03. (TP)</t>
  </si>
  <si>
    <t>05.02.01.04. (TP)</t>
  </si>
  <si>
    <t>05.03.01. (T)</t>
  </si>
  <si>
    <t>Kurti ir plėtoti saugią aplinką 
Visagino savivaldybėje</t>
  </si>
  <si>
    <t>05.03.01.01. (TP)</t>
  </si>
  <si>
    <t>05.03.01.02. (TP)</t>
  </si>
  <si>
    <t>05.03.01.03. (TP)</t>
  </si>
  <si>
    <t>05.03.01.04. (TP)</t>
  </si>
  <si>
    <t>05.04.01. (T)</t>
  </si>
  <si>
    <t>Skatinti bendruomenę 
dalyvauti prevencinėse ir šviečiamosiose veiklose</t>
  </si>
  <si>
    <t>05.04.01.01. (TP)</t>
  </si>
  <si>
    <t>05.05.01. (T)</t>
  </si>
  <si>
    <t xml:space="preserve">Įgyvendinti diasporos politikos  strategines gaires "Globali Lietuva" 2023-2030 m. </t>
  </si>
  <si>
    <t>06.01.01.01.  (TP)</t>
  </si>
  <si>
    <t>06.01.01 (T)</t>
  </si>
  <si>
    <t>06.01.02. (T)</t>
  </si>
  <si>
    <t>06.01.02.01. (TP)</t>
  </si>
  <si>
    <t>06.01.02.02. (TP)</t>
  </si>
  <si>
    <t>06.01.02.03. (TP)</t>
  </si>
  <si>
    <t>06.01.02.04. (TP)</t>
  </si>
  <si>
    <t>06.01.02.06. (TP)</t>
  </si>
  <si>
    <t>06.01.02.07.  (TP)</t>
  </si>
  <si>
    <t>06.01.02.08. (TP)</t>
  </si>
  <si>
    <t>06.01.02.09. (TP)</t>
  </si>
  <si>
    <t>06.01.02.10. (TP)</t>
  </si>
  <si>
    <t>06.01.02.11. (TP)</t>
  </si>
  <si>
    <t>06.01.03. (T)</t>
  </si>
  <si>
    <t>06.01.03.01. (TP)</t>
  </si>
  <si>
    <t>06.01.03.02. (TP)</t>
  </si>
  <si>
    <t>06.01.03.03. (TP)</t>
  </si>
  <si>
    <t>06.01.03.04. (TP)</t>
  </si>
  <si>
    <t>06.01.03.05. (TP)</t>
  </si>
  <si>
    <t>06.01.03.06. (TP)</t>
  </si>
  <si>
    <t>06.01.03.07. (TP)</t>
  </si>
  <si>
    <t>06.01.03.08. (TP)</t>
  </si>
  <si>
    <t>06.01.03.09. (TP)</t>
  </si>
  <si>
    <t>06.01.03.10. (TP)</t>
  </si>
  <si>
    <t>06.01.03.11. (TP)</t>
  </si>
  <si>
    <t>06.01.03.13. (TP)</t>
  </si>
  <si>
    <t>06.01.03.15. (TP)</t>
  </si>
  <si>
    <t>06.01.03.16. (TP)</t>
  </si>
  <si>
    <t>06.01.03.17. (TP)</t>
  </si>
  <si>
    <t>06.01.03.18. (TP)</t>
  </si>
  <si>
    <t>06.02.01. (T)</t>
  </si>
  <si>
    <t>06.02.01.01. (TP)</t>
  </si>
  <si>
    <t>06.02.01.03. (TP)</t>
  </si>
  <si>
    <t>06.02.01.04. (TP)</t>
  </si>
  <si>
    <t>06.02.01.06. (TP)</t>
  </si>
  <si>
    <t>06.02.01.07. (TP)</t>
  </si>
  <si>
    <t>06.02.01.08. (TP)</t>
  </si>
  <si>
    <t>06.02.01.10. (TP)</t>
  </si>
  <si>
    <t>06.02.01.11. (TP)</t>
  </si>
  <si>
    <t>2025 m.asignavimai ir kitos lėšos, tūkst. Eur</t>
  </si>
  <si>
    <t>07.01.01.01. (TP)</t>
  </si>
  <si>
    <t>07.01.01.02. (TP)</t>
  </si>
  <si>
    <t>07.01.01.03. (TP)</t>
  </si>
  <si>
    <t>07.01.01.04. (TP)</t>
  </si>
  <si>
    <t>07.01.01.05. (TP)</t>
  </si>
  <si>
    <t>07.01.01.06. (TP)</t>
  </si>
  <si>
    <t>07.01.01.07. (TP)</t>
  </si>
  <si>
    <t>07.01.01.08. (TP)</t>
  </si>
  <si>
    <t>07.01.01.09. (TP)</t>
  </si>
  <si>
    <t>07.01.02.04 (TP)</t>
  </si>
  <si>
    <t>07.01.03.01 (TP)</t>
  </si>
  <si>
    <t>07.01.01. (T)</t>
  </si>
  <si>
    <t>07.01.02. (T)</t>
  </si>
  <si>
    <t>07.01.03. (T)</t>
  </si>
  <si>
    <t>2024  m. asignavimai ir kitos lėšos, tūkst. Eur</t>
  </si>
  <si>
    <t>08.01.01.(T)</t>
  </si>
  <si>
    <t>08.01.01.01. (TP)</t>
  </si>
  <si>
    <t>08.01.01.02. (TP)</t>
  </si>
  <si>
    <t>08.01.01.03. (TP)</t>
  </si>
  <si>
    <t>08.01.01.04. (TP)</t>
  </si>
  <si>
    <t>08.01.01.05. (TP)</t>
  </si>
  <si>
    <t>08.01.01.06. (TP)</t>
  </si>
  <si>
    <t>08.01.01.07. (PP)</t>
  </si>
  <si>
    <t>08.01.01.08. (TP)</t>
  </si>
  <si>
    <t>08.01.01.10. (TP)</t>
  </si>
  <si>
    <t>08.01.01.11. (TP)</t>
  </si>
  <si>
    <t>08.01.01.12. (TP)</t>
  </si>
  <si>
    <t>08.01.01.13. (TP)</t>
  </si>
  <si>
    <t>08.01.01.14. (PP)</t>
  </si>
  <si>
    <t>08.01.01.15. (PP)</t>
  </si>
  <si>
    <t>08.01.02. (T)</t>
  </si>
  <si>
    <t>08.01.02.01. (TP)</t>
  </si>
  <si>
    <t>08.01.03. (T)</t>
  </si>
  <si>
    <t>08.01.04. (T)</t>
  </si>
  <si>
    <t>08.01.05. (T)</t>
  </si>
  <si>
    <t xml:space="preserve">08.01.03.01. (TP) </t>
  </si>
  <si>
    <t>08.01.04.01. (TP)</t>
  </si>
  <si>
    <t>2025 m.  asignavimai ir kitos lėšos, tūkst. Eur</t>
  </si>
  <si>
    <t>2026 m.  asignavimai ir kitos lėšos, tūkst. Eur</t>
  </si>
  <si>
    <t>09.01.01. (T)</t>
  </si>
  <si>
    <t>09.01.01.03. (TP)</t>
  </si>
  <si>
    <t>09.01.01.04. (TP)</t>
  </si>
  <si>
    <t>09.01.01.05. (TP)</t>
  </si>
  <si>
    <t>09.01.01.06. (TP)</t>
  </si>
  <si>
    <t>09.01.01.08. (TP)</t>
  </si>
  <si>
    <t>09.01.01.09. (TP)</t>
  </si>
  <si>
    <t>09.02.01.01. (TP)</t>
  </si>
  <si>
    <t>09.02.01.02. (TP)</t>
  </si>
  <si>
    <t>09.02.01.03. (TP)</t>
  </si>
  <si>
    <t>09.02.02.01. (TP)</t>
  </si>
  <si>
    <t>09.02.02.02. (TP)</t>
  </si>
  <si>
    <t>09.02.02.03. (TP)</t>
  </si>
  <si>
    <t>09.02.02.04. (TP)</t>
  </si>
  <si>
    <t>09.02.01.(T)</t>
  </si>
  <si>
    <t>09.02.02. (T)</t>
  </si>
  <si>
    <t>Kurti aplinką, kuri sąlygotų investicijų 
pritraukimą</t>
  </si>
  <si>
    <t>Plėsti turizmo, rekreacijos, 
poilsio ir paslaugų infrastruktūrą</t>
  </si>
  <si>
    <t>Įgyvendinti funkcinės
 zonos Visagino, Ignalinos ir Zarasų rajonų savivaldybių teritorijose strategiją</t>
  </si>
  <si>
    <t xml:space="preserve">Ekonominės plėtros programa  (09) </t>
  </si>
  <si>
    <t xml:space="preserve"> Valdymo tobulinimo programa  (01)</t>
  </si>
  <si>
    <t xml:space="preserve">Švietimo paslaugų plėtros programa (02) </t>
  </si>
  <si>
    <t>10.01.01.01. (TP)</t>
  </si>
  <si>
    <t>10.01.01.02. (TP)</t>
  </si>
  <si>
    <t>10.01.01.03. (TP)</t>
  </si>
  <si>
    <t>10.01.01.04. (TP)</t>
  </si>
  <si>
    <t>10.01.01 (T)</t>
  </si>
  <si>
    <t>10.01.02.04. (TP)</t>
  </si>
  <si>
    <t>10.01.02.06. (TP)</t>
  </si>
  <si>
    <t>10.01.02.08. (TP)</t>
  </si>
  <si>
    <t>10.01.02.09. (TP)</t>
  </si>
  <si>
    <t>10.01.02.10. (TP)</t>
  </si>
  <si>
    <t>10.01.02.11. (TP)</t>
  </si>
  <si>
    <t>10.01.02.14. (TP)</t>
  </si>
  <si>
    <t>10.02.03.01. (TP)</t>
  </si>
  <si>
    <t>10.02.03.03. (TP)</t>
  </si>
  <si>
    <t>10.02.03.09. (TP)</t>
  </si>
  <si>
    <t>10.02.03.11. (TP)</t>
  </si>
  <si>
    <t>10.02.04.01. (TP)</t>
  </si>
  <si>
    <t>10.02.04.02. (TP)</t>
  </si>
  <si>
    <t>10.02.04.03. (TP)</t>
  </si>
  <si>
    <t>10.02.04.04. (TP)</t>
  </si>
  <si>
    <t>10.02.04.06. (TP)</t>
  </si>
  <si>
    <t>10.02.04.07. (TP)</t>
  </si>
  <si>
    <t>10.02.05.01. (TP)</t>
  </si>
  <si>
    <t>10.02.05.02. (TP)</t>
  </si>
  <si>
    <t>10.02.06.01. (TP)</t>
  </si>
  <si>
    <t>10.02.07.01. (TP)</t>
  </si>
  <si>
    <t>10.03.01.01. (TP)</t>
  </si>
  <si>
    <t>10.03.01.02. (TP)</t>
  </si>
  <si>
    <t>10.03.01.03. (TP)</t>
  </si>
  <si>
    <t>10.03.01.04. (TP)</t>
  </si>
  <si>
    <t>10.03.01.05. (TP)</t>
  </si>
  <si>
    <t>10.03.01.06. (TP)</t>
  </si>
  <si>
    <t>10.03.01.07. (TP)</t>
  </si>
  <si>
    <t>10.03.01.09. (TP)</t>
  </si>
  <si>
    <t>10.03.01.10. (TP)</t>
  </si>
  <si>
    <t>10.03.02.03. (TP)</t>
  </si>
  <si>
    <t>10.03.02.04. (TP)</t>
  </si>
  <si>
    <t>10.03.03.01. (TP)</t>
  </si>
  <si>
    <t>10.03.04.01. (TP)</t>
  </si>
  <si>
    <t>10.03.05.01. (TP)</t>
  </si>
  <si>
    <t>10.03.05. (T)</t>
  </si>
  <si>
    <t>10.03.04.(T)</t>
  </si>
  <si>
    <t>Tvarkyti (likviduoti) turtą, 
Visagino savivaldybės tarybos  pripažintą netinkamu naudoti dėl fizinio ir funkcinio (technologinio) nusidėvėjimo</t>
  </si>
  <si>
    <t>10.03.03. (T)</t>
  </si>
  <si>
    <t>10.03.02. (T)</t>
  </si>
  <si>
    <t>10.03.01. (T)</t>
  </si>
  <si>
    <t>10.02.06. (T)</t>
  </si>
  <si>
    <t>10.02.07. (T)</t>
  </si>
  <si>
    <t>10.02.05.(T)</t>
  </si>
  <si>
    <t>10.02.04.(T)</t>
  </si>
  <si>
    <t>10.02.03.(T)</t>
  </si>
  <si>
    <t>10.01.02.(T)</t>
  </si>
  <si>
    <t xml:space="preserve">Viešosios infrastruktūros programa  (10) </t>
  </si>
  <si>
    <t xml:space="preserve">Fizinio aktyvumo ir sporto plėtros programa  (03) </t>
  </si>
  <si>
    <t xml:space="preserve">Visagino savivaldybės bendruomeniškumo skatinimo programa (05) </t>
  </si>
  <si>
    <t xml:space="preserve">Visagino savivaldybės sveikatos apsaugos paslaugų kokybės gerinimo programa (07) </t>
  </si>
  <si>
    <t xml:space="preserve">Aplinkos apsaugos programa (08) </t>
  </si>
  <si>
    <t>2.8.-1-1</t>
  </si>
  <si>
    <t>2.7.-3-1</t>
  </si>
  <si>
    <t>Veikiančių savivaldos institucijų skaičius</t>
  </si>
  <si>
    <t>2.1.-5-3</t>
  </si>
  <si>
    <t>Įgyvendintų priemonių skaičius proc., nuo visų suplanuotų įgyvendinti</t>
  </si>
  <si>
    <t>2.6-2-1</t>
  </si>
  <si>
    <t>Archyvinių civilinės būklės aktų įrašų, gautų iš civilinės metrikacijos įstaigų, duomenų tvarkymas, vnt.</t>
  </si>
  <si>
    <t>2.8.-2-8</t>
  </si>
  <si>
    <t>3.3.-2-4</t>
  </si>
  <si>
    <t>Savivaldybės įstaigų ir įmonių pastatų, 
kuriuose įrengtos alternatyvios energijos gamybos priemonės, skaičius (vnt.)</t>
  </si>
  <si>
    <t>1.1.-1-1</t>
  </si>
  <si>
    <t>Pritrauktų investuotojų skaičius</t>
  </si>
  <si>
    <t>E-01-01-03</t>
  </si>
  <si>
    <t>E-01-01-04</t>
  </si>
  <si>
    <t>Panaudota suplanuotų lėšų dalis nuo visų uždaviniui skirtų asignavimų dalies (procentai)</t>
  </si>
  <si>
    <t>2.8.-2-1</t>
  </si>
  <si>
    <t>Sukurtas vidinis informacijos apie pažeidimus teikimo kanalas</t>
  </si>
  <si>
    <t>Gyventojų, per paskutinius 12 mėnesių dalyvavusių sprendžiant viešuosius vietos reikalus, dalis proc</t>
  </si>
  <si>
    <t>2.8.3.1.</t>
  </si>
  <si>
    <t xml:space="preserve">Užtikrinta </t>
  </si>
  <si>
    <t>Parengtų planų skaičius (vnt.)
Įgyvendintų priemonių skaičius proc., nuo visų suplanuotų įgyvendinti</t>
  </si>
  <si>
    <t>2.1.3.1.</t>
  </si>
  <si>
    <t xml:space="preserve">2.1.4.1. </t>
  </si>
  <si>
    <t xml:space="preserve">Pagal Newton Rooms konceptą pritaikytų ir įrengtų patalpų skaičius </t>
  </si>
  <si>
    <t>2.1.1.1.</t>
  </si>
  <si>
    <t>2.1.1.2.</t>
  </si>
  <si>
    <t>2.1.2.1.</t>
  </si>
  <si>
    <t>2.1.-5-5</t>
  </si>
  <si>
    <t>Įstaigų, dalyvavusių projektinėje veikloje, skaičius</t>
  </si>
  <si>
    <t>Švietimo sistemos viešojo administravimo ir švietimo įstaigų priežiūros specialistų mokyklų konsultavimo kompetencijų tobulinimas, mokyklų veiklos kokybės, ugdymo pasiekimų vertinimo rezultatų tobulinimo ir ekspertų / konsultantų rekomendacijų įgyvendinimas, dalykinių, edukacinių priemonių švietimo darbuotojams vykdymas, valstybinės švietimo strategijos priemonių įgyvendinimo priemonės, vykimas į kitas savivaldybes, Nacionalinio diktanto I ir II etapų organizavimas, LR Konstitucijos egzamino I ir II etapų organizavimas, Nacionalinės bibliotekų savaitės organizavimas, švietimo įstaigų vadovų pasitarimų, metinės konferencijos organizavimas, apmokėjimas už vadybos ekspertų darbą ekspertizių metu, Švietimo, mokslo ir sporto ministerijos, kitų švietimo veiklą reguliuojančių institucijų renginiai, veiklos, susijusios su Savivaldybės dalyvavimu nacionaliniuose projektuose, kitos veiklos, padedančios siekti numatyto uždavinio.</t>
  </si>
  <si>
    <t>Parengiamieji ir egzaminų vykdymo, mokinių pasiekimų tikrinimo darbai (išsilavinimo pažymėjimų blankų pateikimas, išdavimas mokykloms ir apskaita, dalyvavimas mokymuose dėl mokinių pasiekimų vertinimo, NMPP, brandos egzaminų ir PUPP organizavimo ir vykdymo, kitos veiklos, padedančios siekti numatyto uždavinio).</t>
  </si>
  <si>
    <t>2.1.-5-2</t>
  </si>
  <si>
    <t>Priemonių įgyvendinimo pagal terminus dalis</t>
  </si>
  <si>
    <t>Tarptautiško, įtraukiančio, atviro ir draugiško miesto įvaizdžio formavimas ir palaikymas</t>
  </si>
  <si>
    <t>2.2-1-2</t>
  </si>
  <si>
    <t>Įstaigų sporto salių, kurios prieinamos sportuoti bendruomenės nariams, skaičius</t>
  </si>
  <si>
    <t>1122</t>
  </si>
  <si>
    <t>332</t>
  </si>
  <si>
    <t>2.2-1-1</t>
  </si>
  <si>
    <t>Suorganizuotų sporto varžybų, švenčių, sąskrydžių, seminarų, „Sportas visiems“ ir kitų sporto renginių,  žaidynių  skaičius</t>
  </si>
  <si>
    <t>2.2-5-1</t>
  </si>
  <si>
    <t>2.3.6.3</t>
  </si>
  <si>
    <t xml:space="preserve"> Įgyvendintų priemonių skaičius </t>
  </si>
  <si>
    <t>2.3.-1-3</t>
  </si>
  <si>
    <t xml:space="preserve">Pritrauktų kultūros specialistų skaičius </t>
  </si>
  <si>
    <t>2.3.-3-2</t>
  </si>
  <si>
    <t xml:space="preserve">Įgyvendintų projektų  skaičius </t>
  </si>
  <si>
    <t>2.3.-5-4</t>
  </si>
  <si>
    <t xml:space="preserve">Kolektyvų, dalyvavusių regioniniuose renginiuose, skaičius </t>
  </si>
  <si>
    <t>2.3.1.</t>
  </si>
  <si>
    <t xml:space="preserve">Kultūros renginiuose apsilankiusių asmenų skaičius proc., nuo bendro gyventojų skaičiaus </t>
  </si>
  <si>
    <t xml:space="preserve">2.3.2.1. </t>
  </si>
  <si>
    <t>2.3.4.1.</t>
  </si>
  <si>
    <t xml:space="preserve"> Veikiančių megėjų meno kolektyvų skaičius </t>
  </si>
  <si>
    <t>2.3.1.2.</t>
  </si>
  <si>
    <t xml:space="preserve"> Organizuotų tarptautinių festivalių skaičius </t>
  </si>
  <si>
    <t>2.3.5.3</t>
  </si>
  <si>
    <t xml:space="preserve"> Įgyvendintų projektų  skaičius </t>
  </si>
  <si>
    <t>2.3.-6-2</t>
  </si>
  <si>
    <t>2.7.-1-2</t>
  </si>
  <si>
    <t>Institucinio stiprinimo projektams finansavimą gavusių organizacijų skaičius per metus</t>
  </si>
  <si>
    <t>Renginių skaičius (vnt. per metus)</t>
  </si>
  <si>
    <t>2.6-2-2</t>
  </si>
  <si>
    <t xml:space="preserve"> Savanorių skaičius jaunimo ir su jaunimu 
dirbančiose organizacijose (ilgalaikių ir trumpalaikių) (asm.)</t>
  </si>
  <si>
    <t>2.6-1-1</t>
  </si>
  <si>
    <t xml:space="preserve"> Veikiančių jaunimo atvirų erdvių, jaunimo centrų skaičius (vnt.)</t>
  </si>
  <si>
    <t>2.8.-2-4</t>
  </si>
  <si>
    <t>Įdiegtų inovatyvių priemonių skaičius, vnt.</t>
  </si>
  <si>
    <t>2.8.-2-6</t>
  </si>
  <si>
    <t xml:space="preserve"> Atnaujintų / įdiegtų vaizdo stebėjimo sistemų skaičius</t>
  </si>
  <si>
    <t>2.8.-2-3</t>
  </si>
  <si>
    <t xml:space="preserve"> Gaisrų prevencijos programoje 
numatytų priemonių įgyvendinimas proc. nuo visų planuotų įgyvendinti</t>
  </si>
  <si>
    <t>2.5-1-6</t>
  </si>
  <si>
    <t xml:space="preserve"> Modernizuotų ir pritaikytų būstų skaičius </t>
  </si>
  <si>
    <t>2.8.-2-7</t>
  </si>
  <si>
    <t>Nevyriausybinių organizacijų organizavusių užsiėmimus diasporos atstovams skaičius</t>
  </si>
  <si>
    <t>2.7.-1-1</t>
  </si>
  <si>
    <t xml:space="preserve">Priimta sprendimų, turinčių tiesioginės įtakos nevyriausybinių ir bendruomeninių </t>
  </si>
  <si>
    <t>2.5</t>
  </si>
  <si>
    <t>2.5-1-1</t>
  </si>
  <si>
    <t xml:space="preserve">Socialinės pašalpos gavėjų skaičius proc. nuo bendro gyventojų skaičiaus   
Būsto šildymo išlaidų ir išlaidų karštam ir geriamam vandeniui gavėjų skaičius proc. nuo bendro gyventojų skaičiaus                                                 </t>
  </si>
  <si>
    <t xml:space="preserve">Socialinės pašalpos gavėjų skaičius proc. nuo bendro gyventojų skaičiaus   </t>
  </si>
  <si>
    <t>2.5.1.6</t>
  </si>
  <si>
    <t>2.5.1.1.</t>
  </si>
  <si>
    <t xml:space="preserve">Socialinės pašalpos gavėjų skaičius proc., nuo bendro gyventojų skaičiaus   </t>
  </si>
  <si>
    <t xml:space="preserve"> Asmenų, gaunančių specialiojo transporto paslaugas, dalis nuo visų pateikusių prašymus (proc.)</t>
  </si>
  <si>
    <t xml:space="preserve">Modernizuotų ir pritaikytų būstų skaičius </t>
  </si>
  <si>
    <t xml:space="preserve"> Socialinės pašalpos gavėjų skaičius proc., nuo bendro gyventojų skaičiaus   </t>
  </si>
  <si>
    <t>2.5.1.3.</t>
  </si>
  <si>
    <t>2.5.1.5.</t>
  </si>
  <si>
    <t xml:space="preserve"> Naujai sukurtų infrastruktūros objektų skaičius</t>
  </si>
  <si>
    <t>2.5.1.5</t>
  </si>
  <si>
    <t>2.7.-2-1</t>
  </si>
  <si>
    <t>Su nevyriausybinėmis organizacijomis pasirašytų paslaugų teikimo sutarčių skaičius</t>
  </si>
  <si>
    <t>Stacionaro ligonių skaičius, 
tenkantis 1 tūkst. gyventojų</t>
  </si>
  <si>
    <t>2.4.-1-1</t>
  </si>
  <si>
    <t>Veikianti daugiaprofilinė, moderni antrinio lygio asmens sveikatos priežiūros įstaiga</t>
  </si>
  <si>
    <t>Veikianti moderni pirminio lygio asmens sveikatos priežiūros įstaiga, teikianti bazines sveikatos priežiūros paslaugas</t>
  </si>
  <si>
    <t>2.4.-2-1</t>
  </si>
  <si>
    <t>Užtikrinta visuomenės sveikatos biuro veikla</t>
  </si>
  <si>
    <t>2.5-1-11</t>
  </si>
  <si>
    <t>Asmenų su sutrikusia raida, gaunančių socialines paslaugas, skaičius proc. nuo bendro Visagine gyvenančių asmenų, turinčių negalią, skaičiaus</t>
  </si>
  <si>
    <t>2.4.-1-2</t>
  </si>
  <si>
    <t>Atnaujintų, įsigytų ir / ar modernizuotų objektų / įrangos  skaičius (vnt.)</t>
  </si>
  <si>
    <t xml:space="preserve">2023 m. baigtas projekto veiklų įgyvendinimas. </t>
  </si>
  <si>
    <t>2.5-1-4</t>
  </si>
  <si>
    <t>Paslaugas gavusių asmenų skaičius proc. nuo bendro gyventojų skaičiaus</t>
  </si>
  <si>
    <t>3.1.3.</t>
  </si>
  <si>
    <t>3.1.3.2</t>
  </si>
  <si>
    <t>3.1.3.6.</t>
  </si>
  <si>
    <t>3.1.1.3.</t>
  </si>
  <si>
    <t>3.1.1.4.</t>
  </si>
  <si>
    <t xml:space="preserve"> Atnaujintų šaligatvių ir pėsčiųjų takų, dalis nuo visų takų (proc.)</t>
  </si>
  <si>
    <t>3.1.3.4.</t>
  </si>
  <si>
    <t>3.1.1.1.</t>
  </si>
  <si>
    <t>3.1.2.1.</t>
  </si>
  <si>
    <t>3.1.3.1.</t>
  </si>
  <si>
    <t>Savivaldybės įstaigų ir įmonių, įdiegusių 
atsinaujinančių ir alternatyvių energijos išteklių priemones savo pastatuose, dalis (proc.)</t>
  </si>
  <si>
    <t>2.3.-3-1</t>
  </si>
  <si>
    <t>2.2-5-2</t>
  </si>
  <si>
    <t>Atnaujintų ir (arba) įrengtų stadionų, sporto aikštynų skaičius (vnt.)</t>
  </si>
  <si>
    <t>3.3.-2-3</t>
  </si>
  <si>
    <t>Modernizuotų pastatų dalis nuo visų viešųjų pastatų (priklausančių VSA) (proc.).</t>
  </si>
  <si>
    <t>Miesto viešųjų erdvių, kuriose įrengtos gyventojų poilsiui pritaikytos erdvės, skaičius (vnt.)</t>
  </si>
  <si>
    <t>Miesto viešųjų erdvių, 
kuriose įrengtos gyventojų poilsiui pritaikytos erdvės, skaičius (vnt.)</t>
  </si>
  <si>
    <t>3.2-1-3</t>
  </si>
  <si>
    <t>3.2.1.2.</t>
  </si>
  <si>
    <t>3.2.1.1.</t>
  </si>
  <si>
    <t>3.2.1.3.</t>
  </si>
  <si>
    <t>3.1.3.3.</t>
  </si>
  <si>
    <t>3.2.1.4.</t>
  </si>
  <si>
    <t xml:space="preserve">2.5. </t>
  </si>
  <si>
    <t>gal perkeliam į 1 programa nes neatitinka tikslų programos ir SPP uždavinių</t>
  </si>
  <si>
    <t xml:space="preserve">2.5.1. </t>
  </si>
  <si>
    <t>2.5-1-5</t>
  </si>
  <si>
    <t>2.5.1.7</t>
  </si>
  <si>
    <t>priemonė nebus įgyvendinama</t>
  </si>
  <si>
    <t>2.5.1.</t>
  </si>
  <si>
    <t>2.5-1-2</t>
  </si>
  <si>
    <t>Metinis konsoliduotų viešųjų paslaugų vartotojų skaičius, vartotojai per metus</t>
  </si>
  <si>
    <t>Užimtumo lygis (metinis) (proc.)</t>
  </si>
  <si>
    <t>Projektas "Atominis Visaginas: branduolinės vietovės identiteto, branduolinio objekto materialinio ir nematerialaus paveldo išsaugojimas ir pritaikymas tvaraus turizmo plėtrai"</t>
  </si>
  <si>
    <t xml:space="preserve">2023-03-10 VSA tarybos sprendimo Nr. TS-21 "Dėl Visagino savivaldybės ekonomikos ir investicijų augimo skatinimo savivaldybėje vystant turizmo plėtrą programos patvirtinimo" įgyvendinimo užtikrinimas </t>
  </si>
  <si>
    <t>09.01.01.01. (PP)</t>
  </si>
  <si>
    <t>R-09-01-01-01</t>
  </si>
  <si>
    <t xml:space="preserve">Parengtų teritorijų planavimo dokumentų skaičius (vnt.) </t>
  </si>
  <si>
    <t>Sukurtos arba atkurtos teritorijos, naudojamos ekonominei, rekreacinei ar turizmo paskirčiai, ha</t>
  </si>
  <si>
    <t xml:space="preserve">Įgyvendinant šią priemonę planuojama įgyvendinti 2017 m. gruodžio 15 d. Nacionalinėje regioninėje taryboje patvirtintos Lietuvos regioninės politikos Baltosios knygos darniai ir tvariai plėtrai 2017–2030 m. 2 uždavinį „Užtikrinti, kad darnus ir tvarus ekonomikos augimas būtų geografiškai subalansuotas“. Atsižvelgiant į tai, kad regionų sistema planuojama principu (3+2+5), Visagino savivaldybė priskiriama prie Utenos regioninio centro, kuriame didžiausias dėmesys skiriamas palaikyti specializuotas profesinio mokymo įstaigas, vystyti pramonės parkus, teikti investicinę pagalbą investicijų pritraukimui ir kt. Atsižvelgiant į tai, kad Visagino savivaldybėje veikia Visagino technologijos ir verslo profesinio mokymo centras, būtina užtikrinti bendradarbiavimą tarp Visagino technologijos ir verslo profesinio mokymo centro, regiono plėtros tarybos, savivaldybės, savivaldybės švietimo įstaigų  bei investuotojų.  Tuo tikslu planuojama organizuoti renginį, skirtą investuotojų pritraukimui. 
Priemonės įgyvendinimas prisidės prie Strateginio plėtros plano priemonių „Sąlygų asmenims profesijos kvalifikacijai tobulinti ir persikvalifikuoti sudarymas, sustiprinant ir  modernizuojant VTVPMC materialinę bazę, siekiant atliepti ketvirtosios pramonės revoliucijos „Pramonė 4.0“ ir kitus naujus darbo rinkos  poreikius“ ir „Dalyvavimo mokymosi visą gyvenimą veiklose didinimas: plėtojant inovatyvią, vieningą, asmeninio pasirinkimo galimybėmis ir darbo rinkos poreikiais grįstą mokymosi visą gyvenimą sistemą, apimančią įvairias profesinio orientavimo, mokymosi, kompetencijų ir kvalifikacijų pripažinimo galimybes besimokantiems, dirbantiems ir nedirbantiems asmenimis“  įgyvendinimo. </t>
  </si>
  <si>
    <t>Atominės energetikos aktualizavimas ir pritaikymas edukacijai bei turizmui (patalpų Balto g. 1, Visagine pertvarkymo koncepcijos, investicinės ir techninės dokumentacijos parengimas)</t>
  </si>
  <si>
    <t>Trumpalaikių neformaliojo vaikų švietimo programų  dalyvių skaičius</t>
  </si>
  <si>
    <t>Įstaigos veiklos strategijoje numatytų priemonių įgyvendinimas pagal planuotus terminus, proc.</t>
  </si>
  <si>
    <t xml:space="preserve">Mokinių atostogų metu organizuotų stovyklų skaičius </t>
  </si>
  <si>
    <t>Mokinių atostogų metu organizuotų stovyklų dalyvių skaičius</t>
  </si>
  <si>
    <t xml:space="preserve">Įgyvendinta edukacinių programų ir kursų , vnt. </t>
  </si>
  <si>
    <t>Įgyvendintų neformaliojo vaikų švietimo (NVŠ) programų, finansuojamų valstybės lėšomis skaičius</t>
  </si>
  <si>
    <t>Įgyvendintų neformaliojo suaugusiųjų švietimo programų, finansuojamų valstybės ar savivaldybės lėšomis, skaičius</t>
  </si>
  <si>
    <t>Parengtų ir patalpintų informacinių pranešimų, straipsnių interneto svetainėje skaičius</t>
  </si>
  <si>
    <t>Iniciatyvų, įtraukiančių Visagino gyventojus ir miesto svečius į veiklas, įgyvendinimas (renginiai, šventės, akcijos, kt.) skaičius</t>
  </si>
  <si>
    <t>Renginių, kuriuose dalyvavo turizmo informacijos centras skaičius</t>
  </si>
  <si>
    <t>Fiziniams asmenims suteiktų konsultacijų skaičius</t>
  </si>
  <si>
    <t>~2000</t>
  </si>
  <si>
    <t>~2500</t>
  </si>
  <si>
    <t>~3000</t>
  </si>
  <si>
    <t>Organizuota (organizatoriaus ir partnerio teisėmis) Visagino savivaldybės turizmo išteklius 
populiarinančių renginių skaičius</t>
  </si>
  <si>
    <t>~2</t>
  </si>
  <si>
    <t>Parengta infrastruktūros objektų sukūrimo ir atnaujinimo pasiūlymų</t>
  </si>
  <si>
    <t xml:space="preserve"> Turizmo verslo atstovams jiems aktualiais klausimais dėl turizmo plėtros ir vystymo Visagino savivaldybėje suteiktų konsultacijų skaičius </t>
  </si>
  <si>
    <t>~5</t>
  </si>
  <si>
    <t>Prie turizmo plėtros ir vystymo Visagino savivaldybėje, pritrauktų jaunimo savanorių (praktikantų) skaičius</t>
  </si>
  <si>
    <t>Sukurti bendrą Ežerų krašto Turizmo produktą, skatinantį turistus atrasti visas Utenos regiono savivaldybes (Zarasų r., Ignalinos r., Anykščių r., Molėtų r., Utenos r. ir Visagino)</t>
  </si>
  <si>
    <t>1.1.-2-1</t>
  </si>
  <si>
    <t>1.1.-1-3</t>
  </si>
  <si>
    <t>2025 m. priemonės įgyvendintos 100</t>
  </si>
  <si>
    <t>6 proc.</t>
  </si>
  <si>
    <t>05.05.01.01. (TP)</t>
  </si>
  <si>
    <t>Kogenaricinės jėgainės Visagino centralizuoto šilumos tiekimo sistemoje statyba, vnt.</t>
  </si>
  <si>
    <t xml:space="preserve">Šiluminės katilinės vaizdo stebėjimo sistemos atnaujinimas, vnt. </t>
  </si>
  <si>
    <t>Pastato 826 šilumos punkto rekonstravimas, vnt.</t>
  </si>
  <si>
    <t>Projektas „Individualių namų kvartalo geriamojo vandens infrastruktūros sukūrimas, prijungiant prie Visagino miesto centralizuoto tinklo", km</t>
  </si>
  <si>
    <t>Nuotekų siurblinės (pastato Nr. 437) ir kontrolinio punkto (pastato Nr. 489A) atnaujinimas</t>
  </si>
  <si>
    <t>Projektas "Individualių namų kvartalo nuotekų surinkimo infrastruktūros sukūrimas, prijungiant prie Visagino miesto centralizuoto tinklo", km</t>
  </si>
  <si>
    <t>Kelių priežiūros ir plėtros programos 
objektų sąraše įrašytų objektų įgyvendinimas procentais nuo skirtų lėšų iš KPP programos</t>
  </si>
  <si>
    <t xml:space="preserve">3.3.2. </t>
  </si>
  <si>
    <t>3.3.-2-2</t>
  </si>
  <si>
    <t xml:space="preserve">Asmenų, pasinaudojusių naujai sukurtomis viešojo transporto paslaugomis proc. nuo bendro gyventojų skaičiaus </t>
  </si>
  <si>
    <t>0,27</t>
  </si>
  <si>
    <t>0,30</t>
  </si>
  <si>
    <t>Skatinti bemotorio transporto pasirinkimą ir pėsčiųjų judumą</t>
  </si>
  <si>
    <t xml:space="preserve">Naikinama 
</t>
  </si>
  <si>
    <t>Apšvietimo tinklų plėtra, km</t>
  </si>
  <si>
    <t>0,5</t>
  </si>
  <si>
    <t>Visagino miesto apšvietimo tinkluose suvartojamos elektros energijos kiekio sutaupymas, lyginant su praėjusiu laikotarpiu, proc</t>
  </si>
  <si>
    <t>Esančių žvyruotų kelių ilgis</t>
  </si>
  <si>
    <t>Sutvarkytų kelių, esančių kaimiškose teritorijose ilgis, km</t>
  </si>
  <si>
    <t>Savivaldybės administracinių paslaugų, teikiamų elektroniniu būdu ne žemesniu kaip 4 brandos lygiu, dalis nuo visų savivaldybės teikiamų administracinių paslaugų (proc.)</t>
  </si>
  <si>
    <t>Elektroniniu būdu pateiktų dokumentų dalis nuo visų gautų dokumentų dėl civilinės būklės aktų registravimo ir kitų su tuo susijusių paslaugų teikimo skaičiaus, proc</t>
  </si>
  <si>
    <t>Lietuvos Respublikos vietos savivaldos įstatymo 7 straipsnio 8  punkto įgyvendinimo užtikrinimas</t>
  </si>
  <si>
    <t xml:space="preserve">Lietuvos Respublikos vietos savivaldos įstatymo 7 straipsnio 7 punkto įgyvendinimo užtikrinimas. </t>
  </si>
  <si>
    <t>Lietuvos Respublikos vietos savivaldos įstatymo 7 straipsnio 29 punkto įgyvendinimo užtikrinimas.</t>
  </si>
  <si>
    <t>Lietuvos Respublikos vietos savivaldos įstatymo 7 straipsnio 16 punkto įgyvendinimo užtikrinimas.</t>
  </si>
  <si>
    <t>Įgyvendinant šią priemonę planuojama 
dalyvauti Lietuvos savivaldybių asociacijos veikloje.</t>
  </si>
  <si>
    <t xml:space="preserve">2.1. </t>
  </si>
  <si>
    <t>2.1.-5-5
2.1.-6-2</t>
  </si>
  <si>
    <t>Suaugusių asmenų, dalyvavusių mokymosi veiklose, dalis proc. nuo visų besimokančiųjų</t>
  </si>
  <si>
    <t>Neformaliojo vaikų švietimo programų įgyvendinimui iš VB skirtų lėšų panaudojimas</t>
  </si>
  <si>
    <t>70</t>
  </si>
  <si>
    <t>Mokinių, dalyvavusių vaikų vasaros poilsio projektuose, dalis nuo bendro mokinių bendrojo ugdymo mokyklose skaičiaus</t>
  </si>
  <si>
    <t>37</t>
  </si>
  <si>
    <t>2.6-2-4</t>
  </si>
  <si>
    <t>NVO, jaunimo ir su jaunimu 
dirbančių asmenų skaičius (vnt.)</t>
  </si>
  <si>
    <t>Aukšto meistriškumo sportininkų dalis nuo visų sportininkų Visagino savivaldybėje (proc.)</t>
  </si>
  <si>
    <t xml:space="preserve">~8000 </t>
  </si>
  <si>
    <t xml:space="preserve">2024  m.asignavimų poreikis </t>
  </si>
  <si>
    <t xml:space="preserve">2024  m. asignavimų poreikis </t>
  </si>
  <si>
    <t>2024  m.asignavimų poreikis</t>
  </si>
  <si>
    <t>Sudaryti kuo palankesnes sąlygas pradėti ir plėtoti verslą, skatinti jaunimo verslumą bei didinti gyventojų užimtumą</t>
  </si>
  <si>
    <t>1.1.2.</t>
  </si>
  <si>
    <t>Teritorijų, suformuotų ir pritaikytų verslo plėtrai, ha</t>
  </si>
  <si>
    <t>Parengtų teritorijų planavimo dokumentų skaičius (vnt.)</t>
  </si>
  <si>
    <t>1.1.2-3</t>
  </si>
  <si>
    <t>Sukurta ir palaikoma verslo informacinė bazė, vnt.</t>
  </si>
  <si>
    <t>1.1.-2-2</t>
  </si>
  <si>
    <t>Užtikrinti turizmo informacijos sklaidą, skatinti turizmo plėtrą savivaldybėje</t>
  </si>
  <si>
    <t>Pantoninės prieplaukos didžiosios, esančios Visagino ežere remontas (būtina pilnai keisti medines lentas)</t>
  </si>
  <si>
    <t xml:space="preserve"> Stikloplastikinės vandens nusileidimo čiuožyklos Visagino ežero pakrantėje demontavimas ir naujos infrastruktūros įrengimas </t>
  </si>
  <si>
    <t>3.2-2-3</t>
  </si>
  <si>
    <t>Įgyvendintų priemonių skaičius, siekiant sustiprinti miesto urbanizuoto  kraštovaizdžio bendros erdvinės struktūros vieningumą, architektūros tapatumą ir savitumą</t>
  </si>
  <si>
    <t>Užtikrintas  Utenos regiono 2021-2030 m. plėtros plano įgyvendinimas</t>
  </si>
  <si>
    <t>Visagino viešosios bibliotekos renovacija : įtraukioji kultūra visiems, neprikalusomai nuo lyties, sveikatos būklės, socialinės padėties ir amžiaus</t>
  </si>
  <si>
    <t>3.3.1.</t>
  </si>
  <si>
    <t xml:space="preserve">3.3.4.1. </t>
  </si>
  <si>
    <t>Apsauginę funkciją atliekančių želdynų ir želdinių, tenkančių 1 gyventojui, plotas (kv. m)</t>
  </si>
  <si>
    <t>Įgyvendinta priemonių, skatinančių komunalinių atliekų 
rūšiuojamojo atliekų surinkimo pajėgumo plėtrą</t>
  </si>
  <si>
    <t xml:space="preserve">3.3.1.2. </t>
  </si>
  <si>
    <t xml:space="preserve">Parengtų projektų skaičius </t>
  </si>
  <si>
    <t xml:space="preserve">3.3.5.1. </t>
  </si>
  <si>
    <t>3.3.-4-3</t>
  </si>
  <si>
    <t xml:space="preserve"> Sąmoningumą skatinančių kompanijų skaičius (vnt. per metus)</t>
  </si>
  <si>
    <t>3.3.-4-1</t>
  </si>
  <si>
    <t>3.3.-1-2</t>
  </si>
  <si>
    <t xml:space="preserve"> Savivaldybės įstaigų ir įmonių pastatų, kuriuose įrengtos alternatyvios energijos gamybos priemonės, skaičius (vnt.)</t>
  </si>
  <si>
    <t xml:space="preserve"> Įrengtų automatizuotų oro taršos stebėjimo stotelių skaičius, vnt.  </t>
  </si>
  <si>
    <t>3.3-5-1</t>
  </si>
  <si>
    <t>3.3-4-1</t>
  </si>
  <si>
    <t>3.3-3-3</t>
  </si>
  <si>
    <t xml:space="preserve">Paviršinių nuotekų surinkimo ir valymo sistemos srityje įgyvendintų priemonių skaičius </t>
  </si>
  <si>
    <t xml:space="preserve">3.3.-5 </t>
  </si>
  <si>
    <t>3.2-1-5</t>
  </si>
  <si>
    <t xml:space="preserve"> Įgyvendintų priemonių skaičius</t>
  </si>
  <si>
    <t>Įgyvendinta priemonių, skatinančių komunalinių atliekų rūšiuojamojo atliekų surinkimo pajėgumo plėtrą</t>
  </si>
  <si>
    <t xml:space="preserve">Visagino m. daugiabučių namų administravimas, techninė priežiūra, namų skaičius </t>
  </si>
  <si>
    <t xml:space="preserve">Visagino sav. paviršinių nuotekų tvarkymas, abonentų skaičius </t>
  </si>
  <si>
    <t>Visagino m. energetinio efektyvumo didinimo daugiabučiuose namuose programos „Visagino enervizija“ įgyvendinimas, namų skaičius</t>
  </si>
  <si>
    <t>Maisto ir virtuvės atliekų surinkimo ir vežimo paslaugų teikimas, t</t>
  </si>
  <si>
    <t xml:space="preserve">Komunalinių atliekų surinkimo Visagino sav. teritorijoje ir jų vežimo į apdorojimo įrenginius paslaugų teikimas, kiekis tonomis </t>
  </si>
  <si>
    <t xml:space="preserve">Komunalinių atliekų sraute 
susidarančių pakuočių atliekų rūšiuojamojo surinkimo ir vežimo paslaugų teikimas,  kiekis tonomis </t>
  </si>
  <si>
    <t>Savivaldybės pirminės valstybės garantuojamos teisinės pagalbos specialistų netiksliai (netinkamai) užpildytų prašymų suteikti antrinę valstybės garantuojamą teisinę pagalbą skaičius nuo savivaldybės parengtų prašymų suteikti antrinę valstybės garantuojamą teisinę pagalbą skaičiaus proc</t>
  </si>
  <si>
    <t> Ne daugiau kaip 
15 proc. visų susidariusių komunalinių atliekų (pagal svorį) šalinama sąvartyne</t>
  </si>
  <si>
    <t> Ne daugiau kaip 
10 proc. visų susidariusių komunalinių atliekų (pagal svorį) šalinama sąvartyne</t>
  </si>
  <si>
    <t>Ne daugiau kaip 
8 proc. visų susidariusių komunalinių atliekų (pagal svorį) šalinama sąvartyne</t>
  </si>
  <si>
    <t xml:space="preserve">Gerinti  investicinės aplinkos patrauklumą ir didinti ekonominį potencialą </t>
  </si>
  <si>
    <t>07.01.02.01 (TP)</t>
  </si>
  <si>
    <t>R-07-01-02-01</t>
  </si>
  <si>
    <t>2.5-1-10</t>
  </si>
  <si>
    <t>Mobilių (transporto) paslaugų teikimo  tikslinėms grupėms išplėtojimas</t>
  </si>
  <si>
    <t xml:space="preserve">Vykdomų naujų paslaugų skaičius </t>
  </si>
  <si>
    <t>Vykdyti kryptingą darnaus judumo politiką savivaldybėje</t>
  </si>
  <si>
    <t xml:space="preserve">1.1. tikslas </t>
  </si>
  <si>
    <t xml:space="preserve">Viešųjų paslaugų teikimas bei Visagino savivaldybės turizmo rinkodaros plėtojimas  </t>
  </si>
  <si>
    <t>1.2. tikslas</t>
  </si>
  <si>
    <t>2.1. tikslas</t>
  </si>
  <si>
    <t xml:space="preserve"> Visagino progimnazijų erdvių pritaikymas negalią turinčių mokinių ugdymuisi įtraukiuoju būdu </t>
  </si>
  <si>
    <t>Visos dienos užimtumo erdvių sukūrimas Visagino bendrojo ugdymo mokyklose</t>
  </si>
  <si>
    <t>Visagino savivaldybės bendrojo ugdymo mokyklų tinklo pertvarkos priemonių planų kiekvienoje mokykloje įgyvendinimas</t>
  </si>
  <si>
    <t>2.2. tikslas</t>
  </si>
  <si>
    <t>Aplinkos ir viešųjų erdvių fizinio aktyvumo užsiėmimams pritaikymas</t>
  </si>
  <si>
    <t>Visagino savivaldybės ugdymo įstaigų vidaus ir lauko sporto infrastruktūros - sporto salių, aikštelių, stadionų - atnaujinimas ir (ar) plėtra</t>
  </si>
  <si>
    <t>2.3. tikslas</t>
  </si>
  <si>
    <t>Infrastruktūros, būtinos gyventojų kultūriniams poreikiams užtikrinti, esamos vidaus rekonstravimas ir/arba naujos statymas</t>
  </si>
  <si>
    <t>Visagino miesto muziejaus koncepcijos ir struktūros plėtojimas</t>
  </si>
  <si>
    <t>2.4. tikslas</t>
  </si>
  <si>
    <t>2.5. tikslas</t>
  </si>
  <si>
    <t>Socialinių paslaugų prieinamumo didinimas</t>
  </si>
  <si>
    <t>Socialinio  ir savivaldybės būsto prieinamumo visų socialinių grupių atstovams didinimas</t>
  </si>
  <si>
    <t>2.6. tikslas</t>
  </si>
  <si>
    <t xml:space="preserve"> Jaunimo teikiamų  projektų ir iniciatyvų finansavimas</t>
  </si>
  <si>
    <t>2.7. tikslas</t>
  </si>
  <si>
    <t xml:space="preserve">2.8. tikslas </t>
  </si>
  <si>
    <t>Miesto vaizdo stebėjimo sistemos naujinimas ir plėtra</t>
  </si>
  <si>
    <t xml:space="preserve">3.1. tikslas </t>
  </si>
  <si>
    <t>Esamų šaligatvių ir pėsčiųjų takų infrastruktūros kokybės gerinimas</t>
  </si>
  <si>
    <t>Tinkamo miesto kelių tinklo darnos, saugumo ir kokybės užtikrinimas</t>
  </si>
  <si>
    <t>3.2. tikslas</t>
  </si>
  <si>
    <t xml:space="preserve"> Kogeneracinės biokuro elektrinės (1,25 MW elektros galios 6,8 MW šilumos galios) statyba</t>
  </si>
  <si>
    <t>3.3. tikslas</t>
  </si>
  <si>
    <t>Individualių namų kvartalo vystymas (projektavimas)</t>
  </si>
  <si>
    <t>1 lentelė. Tikslai, uždaviniai ir jų stebėsenos rodikliai</t>
  </si>
  <si>
    <r>
      <t>2024</t>
    </r>
    <r>
      <rPr>
        <b/>
        <sz val="7"/>
        <color rgb="FF000000"/>
        <rFont val="Arial"/>
        <family val="2"/>
      </rPr>
      <t xml:space="preserve"> metų asignavimai ir kitos lėšos</t>
    </r>
  </si>
  <si>
    <r>
      <t>2025</t>
    </r>
    <r>
      <rPr>
        <b/>
        <sz val="7"/>
        <color rgb="FF000000"/>
        <rFont val="Arial"/>
        <family val="2"/>
      </rPr>
      <t>metų asignavimai ir kitos lėšos</t>
    </r>
  </si>
  <si>
    <r>
      <t>2026</t>
    </r>
    <r>
      <rPr>
        <b/>
        <sz val="7"/>
        <color rgb="FF000000"/>
        <rFont val="Arial"/>
        <family val="2"/>
      </rPr>
      <t xml:space="preserve"> metų asignavimai ir kitos lėšos</t>
    </r>
  </si>
  <si>
    <r>
      <t xml:space="preserve">IŠ VISO programai finansuoti pagal finansavimo šaltinius </t>
    </r>
    <r>
      <rPr>
        <i/>
        <sz val="7"/>
        <rFont val="Arial"/>
        <family val="2"/>
      </rPr>
      <t>(</t>
    </r>
    <r>
      <rPr>
        <b/>
        <i/>
        <sz val="7"/>
        <rFont val="Arial"/>
        <family val="2"/>
      </rPr>
      <t>1 ir 2 punktai)</t>
    </r>
  </si>
  <si>
    <r>
      <t>n</t>
    </r>
    <r>
      <rPr>
        <sz val="7"/>
        <color rgb="FF000000"/>
        <rFont val="Arial"/>
        <family val="2"/>
      </rPr>
      <t xml:space="preserve"> – pirmieji planuojamieji metai, </t>
    </r>
    <r>
      <rPr>
        <i/>
        <sz val="7"/>
        <color rgb="FF000000"/>
        <rFont val="Arial"/>
        <family val="2"/>
      </rPr>
      <t xml:space="preserve">n </t>
    </r>
    <r>
      <rPr>
        <sz val="7"/>
        <color rgb="FF000000"/>
        <rFont val="Arial"/>
        <family val="2"/>
      </rPr>
      <t xml:space="preserve">+ 1 – antrieji planuojamieji metai ir </t>
    </r>
    <r>
      <rPr>
        <i/>
        <sz val="7"/>
        <color rgb="FF000000"/>
        <rFont val="Arial"/>
        <family val="2"/>
      </rPr>
      <t xml:space="preserve">n </t>
    </r>
    <r>
      <rPr>
        <sz val="7"/>
        <color rgb="FF000000"/>
        <rFont val="Arial"/>
        <family val="2"/>
      </rPr>
      <t>+ 2 – tretieji planuojamieji metai.</t>
    </r>
  </si>
  <si>
    <t>Mergaičių grupių skaičius</t>
  </si>
  <si>
    <t xml:space="preserve">10 proc. </t>
  </si>
  <si>
    <t>Mažų miestelių krepšinio lygos komandų skaičius</t>
  </si>
  <si>
    <t>Regionų krepšinio lygos komandų skaičius</t>
  </si>
  <si>
    <t>Lėšų poreikis, Eur</t>
  </si>
  <si>
    <t xml:space="preserve">Finansavimo šaltinis </t>
  </si>
  <si>
    <t>SB, EGDP</t>
  </si>
  <si>
    <t xml:space="preserve"> Naujai organizuotų vietinės reikšmės maršrutų skaičius</t>
  </si>
  <si>
    <t xml:space="preserve">Parengtų kreipimųsi bei organizuotų susitikimų su AB „Lietuvos geležinkeliai“ skaičius </t>
  </si>
  <si>
    <t>Įgyvendinant šią priemonę bus užtikrintas transporto paslaugų teikimas biudžetinėms ir pagal galimybes viešosioms įstaigoms, kurioms skirtas finansavimas iš savivaldybės biudžeto.</t>
  </si>
  <si>
    <t>2.2.1.</t>
  </si>
  <si>
    <t xml:space="preserve"> Sporto varžybose ir sveikatingumo renginiuose dalyvavusių asmenų  skaičius, vnt. per metus</t>
  </si>
  <si>
    <t xml:space="preserve"> Kelių priežiūros ir plėtros programos lėšomis įgyvendintų priemonių skaičius</t>
  </si>
  <si>
    <t xml:space="preserve"> Elektromobilių įkrovimo prieigų skaičius (vnt.)</t>
  </si>
  <si>
    <t>Įrengtų automobilių stovėjimo 
vietų gatvių važiuojamojoje dalyje/pėsčiųjų perėjų skaičius</t>
  </si>
  <si>
    <t xml:space="preserve"> Pasirašytų autobusų stoties įveiklinimo  sutarčių skaičius </t>
  </si>
  <si>
    <t xml:space="preserve"> Įrengtų automobilių stovėjimo 
vietų gatvių važiuojamojoje dalyje/pėsčiųjų perėjų skaičius</t>
  </si>
  <si>
    <t>550</t>
  </si>
  <si>
    <t xml:space="preserve">Projekto veiklų įgyvendinimas baigtas 2023 m. </t>
  </si>
  <si>
    <t>Įrengtų ir atnaujintų sporto bei laisvalaikio aikštelių skaičius Visagino savivaldybėje</t>
  </si>
  <si>
    <t xml:space="preserve">Naikinama
</t>
  </si>
  <si>
    <t xml:space="preserve"> Įrengtų ir / ar atnaujintų vaikų žaidimų aikštelių skaičius (vnt.)</t>
  </si>
  <si>
    <t xml:space="preserve"> Plėsti, prižiūrėti ir modernizuoti teritorijas, įrengiant reikalingą infrastrukūrą</t>
  </si>
  <si>
    <t xml:space="preserve"> Miesto viešųjų erdvių, kuriose įrengtos gyventojų poilsiui pritaikytos erdvės) skaičius (vnt.)</t>
  </si>
  <si>
    <t xml:space="preserve"> Esančių žvyruotų kelių ilgis (km)</t>
  </si>
  <si>
    <t xml:space="preserve"> Išduotų statybos leidimų skaičius (vnt.)</t>
  </si>
  <si>
    <t xml:space="preserve"> Įrengta naujų kapinių plotų, ha </t>
  </si>
  <si>
    <t>Tvarkyti savivaldybės kaimiškųjų vietovių infrastruktūrą</t>
  </si>
  <si>
    <t>Namų, kuriuose pasiekta ne žemesnė kaip C pastato energinio naudingumo klasė ir skaičiuojamosios šilumos energijos sąnaudos sumažintos ne mažiau kaip 40 proc., skaičius</t>
  </si>
  <si>
    <t>Surinkta lėšų, pagal Visagino savivaldybės tarybos, nustatytą infrastruktūros plėtros įmoką</t>
  </si>
  <si>
    <t>Visagino savivaldybės 2024-2026 m. infrastruktūros plėtros priemonių planas yra neatsiejama Visagino savivaldybės viešosios infrastruktūros plėtros programos dalis.</t>
  </si>
  <si>
    <t>Parengtų tarybos sprendimų nustatančių infrastruktūros plėtros įmoką skaičius</t>
  </si>
  <si>
    <t>3.3.-2-5</t>
  </si>
  <si>
    <t xml:space="preserve">Užtikrintas  gyvenamosios aplinkos tvarkymo ir apšvietimo sistemos efektyvumas  ir sistemos eksploatavimas bei priežiūra </t>
  </si>
  <si>
    <t xml:space="preserve">Gerinti keleivių vežimo sąlygas bei skatinti darnesnį ir patogesnį judėjimą </t>
  </si>
  <si>
    <t>Savivaldybės ekonominės plėtros gairių specializacijų vystymas</t>
  </si>
  <si>
    <t xml:space="preserve">Skatinant gyventojų verslumą ir ekonominį mobilumą, plėtojant viešąsias paslaugas ir paramą smulkiajam, vidutiniam verslui (SVV) bei vykdantiems ekonominę veiklą, šios priemonės įgyvendinimas prisidės prie 2020–2030 m. prioritetinės ekonomikos plėtros krypčių įgyvendinimo, kurios buvo patvirtintos Visagino savivaldybės tarybos 2019 m. spalio 30 d. sprendimu Nr. TS-253 „Dėl Visagino savivaldybės 2020–2030 m. ekonominės plėtros gairių patvirtinimo“, Strateginio plėtros plano uždavinio „Skatinti gyventojų verslumą ir ekonominį mobilumą“ įgyvendinimo. Įgyvendinant priemonę planuojama remti ir teikti smulkiajam ir vidutiniam verslui aktualias viešąsias paslaugas. VšĮ Visagino ekonomikos plėtros agentūra kartu su Visagino savivaldybe kurs ekonominio patrauklumo priemones, organizuos ir rengs pristatymus potencialiems investuotojams, stiprins ir aktyvins komunikaciją su verslo atstovais.
</t>
  </si>
  <si>
    <t>Autobusų stoties su turizmo informacijos centru statybos užbaigimas ir perdavimas stoties valdytojui</t>
  </si>
  <si>
    <t>Sutvarkyta / įrengta / atnaujinta 
teritorijų, ha</t>
  </si>
  <si>
    <t>77339
Eur (Įstaigos lėšos)
250 000 Eur (Jeigu bus gautos lėšos iš planuojamų projektų)</t>
  </si>
  <si>
    <t>15 000 Eur</t>
  </si>
  <si>
    <t>10 000 Eur</t>
  </si>
  <si>
    <t>EKG aparatų įsigijimas</t>
  </si>
  <si>
    <t>50000 Eur</t>
  </si>
  <si>
    <t xml:space="preserve">Laboratorinis inkubatorius </t>
  </si>
  <si>
    <t>Įstaigos funkcijų vykdymo išlaidos (Nematerialiojo turto IT sistemų palaikymo išlaidos)</t>
  </si>
  <si>
    <t>40656 Eur</t>
  </si>
  <si>
    <t>44722 Eur</t>
  </si>
  <si>
    <t>45500 Eur</t>
  </si>
  <si>
    <t>ASP duomenų saugos atitikimo saugos reglamentui auditas  (rizikų vertinimas ir įgyvendinimas (Nematerialiojo turto IT sistemų palaikymo išlaidos)</t>
  </si>
  <si>
    <t>1500 Eur</t>
  </si>
  <si>
    <t>ASP duomenų perkėlimas " į debesija", IT veikimui reikiamų resursų nuoma  (Nematerialiojo turto IT sistemų palaikymo išlaidos)</t>
  </si>
  <si>
    <t>26600 Eur</t>
  </si>
  <si>
    <t>Teleradiologijos paslaugų (SR ir GMG) paslaugų užtikrinimas (Paslaugų apmokėjimo išlaidos )</t>
  </si>
  <si>
    <t>40000 Eur</t>
  </si>
  <si>
    <t>Įstaigos funkcijų vykdymo išlaidos (Darbo užmokesčio  didinimo išlaidos dėl minimalios algos didinimo ,sisteminis sveikatos priežiūros specialistų atlyginimų didinimas)</t>
  </si>
  <si>
    <t>9345894 Eur</t>
  </si>
  <si>
    <t>Įstaigos funkcijų vykdymo išlaidos personalui (Kvalifikacijos kėlimo išlaidos, pagal kolektyvinės sutarties nuostatas)</t>
  </si>
  <si>
    <t>11000 Eur</t>
  </si>
  <si>
    <t>Įstaigos funkcijų vykdymo išlaidos personalui (Medicininio  ir kito įstaigos  personalo mokymai, pritaikant ligoninės darbą  prie naujų SAM pertvarkos reikalavimų)</t>
  </si>
  <si>
    <t>Kvalifikacijos kėlimas ne mažiau nei 
14 % įstaigos personalo</t>
  </si>
  <si>
    <t>Kvalifikacijos kėlimas ne mažiau nei 
15 % įstaigos personalo</t>
  </si>
  <si>
    <t>Kvalifikacijos kėlimas ne mažiau nei 
16 % įstaigos personalo</t>
  </si>
  <si>
    <t>Įstaigos funkcijų vykdymo išlaidos personalui (Naujų darbuotojų pritraukimas ir įdarbinimas įstaigoje)</t>
  </si>
  <si>
    <t>Naujų bendrosios praktikos slaugytojų pritraukimas ir įdarbinimas ne mažiau nei 2 bendrosios praktikos slaugytojų  per metus</t>
  </si>
  <si>
    <t>Įstaigos kiekybinių ir kokybinių rodyklių vykdymas (Pacientų prieinamumo pas gydytojus užtikrinimas)</t>
  </si>
  <si>
    <t>Siekti, kad įstaigoje teikiamos pirminės ambulatorinės sveikatos priežiūros paslaugos sveikatos apsaugos ministro nustatytų ūmių būklių atveju butu atliekamos  ne vėliau kaip per 24 valandas</t>
  </si>
  <si>
    <t>Siekti, kad įstaigoje teikiamos pirminės ambulatorinės sveikatos priežiūros paslaugos butu atliekamos  ne vėliau kaip per 7 kalendorines diena</t>
  </si>
  <si>
    <t>Siekti, kad įstaigoje teikiamos Antrinės ambulatorinės sveikatos priežiūros paslaugos butu atliekamos ne vėliau kaip per 30 kalendorinių dienų</t>
  </si>
  <si>
    <t>Siekti, kad įstaigoje teikiamos stacionarinės, dienos stacionaro ir (ar) dienos chirurgijos sveikatos priežiūros paslaugos planinės pagalbos atveju butu atliekamos  ne vėliau kaip per 60 kalendorinių dienų</t>
  </si>
  <si>
    <t>Įstaigos kiekybinių ir kokybinių rodyklių vykdymas
(Gerinti pacientų bendro pasitenkinimo VšĮ Visagino ligoninėje  teikiamomis asmens sveikatos priežiūros paslaugomis)</t>
  </si>
  <si>
    <t>2024 metais 
siekti ne mažesnį nei 0,82 rodiklio rezultato, atlikti ne mažiau 2 pacientų apklausų.</t>
  </si>
  <si>
    <t>2025 metais 
siekti atlikti ne mažiau 2 pacientų apklausų ir 1 darbuotojų apklausą.</t>
  </si>
  <si>
    <t>2026 metais 
siekti atlikti ne mažiau 2 pacientų apklausų ir 1 darbuotojų apklausą.</t>
  </si>
  <si>
    <t xml:space="preserve">Gyventojų informuotumo užtikrinimas . Ligoninės internetinės svetainės pagal šiuolaikinius standartus atnaujinimas </t>
  </si>
  <si>
    <t>.+</t>
  </si>
  <si>
    <t>Siekti, kad atvykimo dieną atliktų planinių Dienos chirurgijos operacijų rodiklis  siektu ne mažiau nei</t>
  </si>
  <si>
    <t>Plėtoti įstaigos  infrastruktūrą  ir gerinti sveikatos priežiūros paslaugų kokybę ir į pacientą orientuotą sveikatos priežiūrą (Optimizuoti ligoninės stacionarinių lovų struktūrą , mažinant stacionarines lovas)</t>
  </si>
  <si>
    <t>Sumažinti 17 stacionarinių   Akušerijos ginekologijos skyriaus lovų, transformuojant jas į 16 Dienos stacionaro ir 1 Anesteziologijos reanimatologijos lovas.  Transformuoti 5 Chirurgijos skyriaus  lovas į ginekologines</t>
  </si>
  <si>
    <t>Užtikrinti nuolatinį skubiosios medicinos pagalbos teikimą  (Užtikrinti B tipo Skubiosios pagalbos skyriaus  veiklą )</t>
  </si>
  <si>
    <t>Reikalingos įrangos komplektacija</t>
  </si>
  <si>
    <t xml:space="preserve">Reikalingos įrangos komplektacija </t>
  </si>
  <si>
    <t>Personalo  skaičiaus atitikimas reikalavimams</t>
  </si>
  <si>
    <t xml:space="preserve">Personalo kompetencijų užtikrinimas </t>
  </si>
  <si>
    <t>Organizuoti skyriuje papildomas 1 palatos</t>
  </si>
  <si>
    <t xml:space="preserve">Užtikrinti nuolatinį skubiosios medicinos pagalbos teikimą (Užtikrinti RIT  , RIP bei Anestezijos  paslaugų teikimą) </t>
  </si>
  <si>
    <t>Gerinti ir plėsti slaugos ir palaikomojo gydymo ir paliatyviosios pagalbos paslaugas (Gerinti pacientų mitybą, didinti vienviečių palatų skaičių )</t>
  </si>
  <si>
    <t>15 proc.</t>
  </si>
  <si>
    <t xml:space="preserve">Neveiksnių asmenų būklės peržiūrėjimo komisijos inicijuotų asmens būklės peržiūrėjimo bylų skaičius </t>
  </si>
  <si>
    <t>Išnagrinėtų Neveiksnių asmenų būklės peržiūrėjimo komisijos inicijuotų asmens būklės peržiūrėjimo bylų skaičius</t>
  </si>
  <si>
    <t xml:space="preserve">Neveiksnių asmenų būklės peržiūrėjimo komisijos priimtų sprendimų kreiptis į teismą skaičius </t>
  </si>
  <si>
    <t>Atviros ekosistemos atsiskaitymams negrynaisiais pinigais bendrojo ugdymo įstaigų valgyklose kūrimas</t>
  </si>
  <si>
    <t>EGDP</t>
  </si>
  <si>
    <t>Karjeros specialistų tinklo vystymas</t>
  </si>
  <si>
    <t xml:space="preserve">Individualių namų kvartalo vystymas </t>
  </si>
  <si>
    <t xml:space="preserve">Rodiklio reikšmė
2023m. </t>
  </si>
  <si>
    <t>118 (2024-01-02 duomenimis)</t>
  </si>
  <si>
    <t>Švietimo pagalbos specialistų, tenkančių 100-ui ikimokyklinio ugdymo įstaigų mokinių</t>
  </si>
  <si>
    <t xml:space="preserve">21 darbuotojas, 2,77 proc. </t>
  </si>
  <si>
    <t>100 (270 mokinių turinčių spec. ugdymo poreikių)</t>
  </si>
  <si>
    <t>Savivaldybės 3–5 metų vaikų, ugdomų ne savivaldybės mokyklose, dalis proc.</t>
  </si>
  <si>
    <t>ŠVIS,Mokinių registras</t>
  </si>
  <si>
    <t>Naujai nutiestų dviračių takų ilgis (km)</t>
  </si>
  <si>
    <t>Įrengtų dviračių saugojimo ir dalinimosi aikštelių skaičius</t>
  </si>
  <si>
    <t>10.01.02.01. (PP)</t>
  </si>
  <si>
    <t xml:space="preserve">Projekto veiklos baigtos įgyvendinti 2023 m. </t>
  </si>
  <si>
    <t>Viešosiose teritorijose įrengtų  automobilių stovėjimo aikštelių/perėjų skaičius</t>
  </si>
  <si>
    <t>10.02.03.02. (TP)</t>
  </si>
  <si>
    <t>Savivaldybės viešųjų pastatų, taikant energijos išteklių panaudojimo efektyvumo didinimo priemones, modernizavimas</t>
  </si>
  <si>
    <t xml:space="preserve">Parengtų investicinių projektų skaičius </t>
  </si>
  <si>
    <t xml:space="preserve"> </t>
  </si>
  <si>
    <t>05.01.01.06. (TP)</t>
  </si>
  <si>
    <t>Planuojama remontuoti apšvietimo tinklų kabelines linijas, atlikti elektros varžų matavimus, elektros linijų ir apskaitos skydų montavimus, kitus elektros energijos tiekimo montavimo ir priežiūros darbus (eksploatavimo išlaidos). Įgyvendinant  Visagino gatvių apšvietimo sistemos modernizavimo projektą, buvo pakeista tik dalis virš 30% kabelių ir kabeliniu linijų, siekiant užtikrinti korektišką apšvietimo sistemos darbą, būtina tvarkyti sugedusius kabelius taip pat eksploatuoti apšvietimo sistemas pramonės zonoje (nebuvo modernizuotos). Pagal gautus gyventojų prašymus tikslinga įrengti naujas linijas būtinų vietų apšvietimui.</t>
  </si>
  <si>
    <t>Sutvarkytų bešeimininkių atliekų kiekis, t</t>
  </si>
  <si>
    <t xml:space="preserve">Projektą planuojama įgyvendinti 2021-2027 m.  Europos Sąjungos investicijų programos lėšomis.  Paraišką projekto finansavimui gauti planuojama teikti 2024  m. IV ketvirtyje. Planuojama, kad paraiška teiks UAB Utenos regiono atliekų tvarkymo centras. Visagino savivaldybės administracija bus projekto partneris.  Įgyvendinant projektą planuojamos šios veiklos:
1) Didelių gabaritų atliekų surinkimo aikštelės Visagino savivaldybėje, t. y. Taikos pr. 27, Visagine įrengimas;
2) Didelių gabaritų atliekų surinkimo aikštelėje Visagino savivaldybėje, t. y. Taikos pr. 27, Visagine, įrengti 1 uždaro tipo dalijimosi daiktais aikštelę. </t>
  </si>
  <si>
    <t>08.01.05.01. (PP)</t>
  </si>
  <si>
    <t>06.02.01.12. (PP)</t>
  </si>
  <si>
    <t>06.02.01.14. (PP)</t>
  </si>
  <si>
    <t>06.02.01.15. (PP)</t>
  </si>
  <si>
    <t>Projekto vykdytojas: Valstybės vaiko teisių apsaugos ir įvaikinimo tarnyba prie Socialinės apsaugos ir darbo ministerijos. Projekto partneriai: Visagino savivaldybės administracija ir Visagino šeimos ir vaiko gerovės centras. 
Projekto tikslas – diegti ir vystyti paslaugas, kurios skatintų ir palaikytų vaikų globą šeimos aplinkoje, užtikrinant vaikų poreikius ir saugumą. Projekto laikotarpiu bus teikiamos bendruomeninės paslaugos tėvų globos netekusiems vaikams, įskaitant kūdikius. Siekiama užtikrinti vaikų teises turėti šeimą ir augti saugioje aplinkoje. Taip pat numatoma visų savivaldybių globos centrų specialistų kompetencijų kėlimas, globėjų ir įtėvių rengimo programos tobulinimas, teisės aktų pakeitimai tobulinant vaikų globos sistemą, tinklaveika, visuomenės švietimas ir viešieji ryšiai nacionaliniu ir savivaldybės lygiais, numatoma plėtoti budinčių globotojų institutą, bei įdiegti nuolatinių globotojų institutą. Projekto lėšomis  finansuojamas globos koordinatoriaus (1,25 etato), psichologo (0,6 etato) darbo užmokestis.
Projekto pradžia - 2023-07-01
Projekto pabaiga - 2026-06-30</t>
  </si>
  <si>
    <t>Paslaugų socialiai pažeidžiamiems, socialinę riziką (atskirtį) patiriantiems asmenims vietų skaičius naujoje ar modernizuotoje infrastruktūroje</t>
  </si>
  <si>
    <t>Naujos arba modernizuotos socialinės rūpybos infrastruktūros (ne būsto) talpumas</t>
  </si>
  <si>
    <t>Naujos arba modernizuotos socialinės rūpybos infrastruktūros naudotojų skaičius per metus</t>
  </si>
  <si>
    <t xml:space="preserve">1 prioritetas </t>
  </si>
  <si>
    <t>Konkurencingo verslo skatinimas ir vietinės ekonomikos tvari plėtra</t>
  </si>
  <si>
    <t>2 prioritetas</t>
  </si>
  <si>
    <t>3 prioritetas</t>
  </si>
  <si>
    <t xml:space="preserve"> Tvarus, subalansuotas savivaldybės aplinkos vystymas ir plėtra</t>
  </si>
  <si>
    <t>Įvykusių tarybos posėdžių skaičius /organizuotų rinkimų skaičius</t>
  </si>
  <si>
    <t>12/3</t>
  </si>
  <si>
    <t>12/0</t>
  </si>
  <si>
    <t>UAB Visagino 
mechanizacija auditas 600 Eur</t>
  </si>
  <si>
    <t>Parko g. 14 schemos padalinimas</t>
  </si>
  <si>
    <t xml:space="preserve">Visagino savivaldybės administracinės naštos mažinimo priemonių planas yra neatsiejama Visagino savivaldybės valdymo tobulinimo programos dalis. Išsami informacija pateikiama VI skyriuje. </t>
  </si>
  <si>
    <t xml:space="preserve">Visagino savivaldybės administracija </t>
  </si>
  <si>
    <t xml:space="preserve">Visagino kūrybos ir menų akademija </t>
  </si>
  <si>
    <t>2023 m. LED ekrano įsigijimui suplanuota 143 990 Eur. Panaudota 2023-09-18  50820 Eur, iš jų 48400 Eur už konstrukciją, 2420 Eur autorinė priežiūra</t>
  </si>
  <si>
    <t xml:space="preserve">
Visagino skaitmeninio miesto dvynio informacinės sistemos sukūrimas</t>
  </si>
  <si>
    <t>Mero fondas</t>
  </si>
  <si>
    <t xml:space="preserve">VšĮ Visagino edukacijų centras </t>
  </si>
  <si>
    <t xml:space="preserve">VšĮ Visagino sporto ir rekreacijos centras </t>
  </si>
  <si>
    <t xml:space="preserve">VšĮ Visagino futbo centras </t>
  </si>
  <si>
    <t>VšĮ Visagino krepšinio mokykla</t>
  </si>
  <si>
    <t xml:space="preserve">VšĮ Visagino graikų romėnų imtynių centras </t>
  </si>
  <si>
    <t>trenkturas, rali</t>
  </si>
  <si>
    <t>Kompensacija gyventojams 
už naudojimasi baseino paslaugomis</t>
  </si>
  <si>
    <t xml:space="preserve">VšĮ Visagino muziejus paskirties keitimas </t>
  </si>
  <si>
    <t xml:space="preserve">Visagino savivaldybės administarcija </t>
  </si>
  <si>
    <t>VSA (ŠVGC)</t>
  </si>
  <si>
    <t>darbai</t>
  </si>
  <si>
    <t>prie=i8ra</t>
  </si>
  <si>
    <t>Organizuotų išvykų skaičius/Dalyvių skaičius</t>
  </si>
  <si>
    <t xml:space="preserve">Gerosios vilties atraminių sienučių remontas </t>
  </si>
  <si>
    <t xml:space="preserve"> mažosios architektūrinės formos</t>
  </si>
  <si>
    <t>viešojo dizaino elementas</t>
  </si>
  <si>
    <t>Gelynų (klombų) Parko g. ir Santarvės aik. Remontas</t>
  </si>
  <si>
    <t>Visagino g. vizualizacija</t>
  </si>
  <si>
    <t>Geležinkelio tako priežiūra</t>
  </si>
  <si>
    <t xml:space="preserve">Gervės stelos remontas </t>
  </si>
  <si>
    <t>Santarvės aikštės želdynų projektas</t>
  </si>
  <si>
    <t>95000 laiptai</t>
  </si>
  <si>
    <t xml:space="preserve">stoginės pastatymas ir generatoriaus pajungimas </t>
  </si>
  <si>
    <t>generatorius+stogin4</t>
  </si>
  <si>
    <t xml:space="preserve">Visagino mechanizacija audito paslaugoms apmokėti </t>
  </si>
  <si>
    <t>Apleistų buvusių gimdymo namų komunalinių paslaugų apmokėjimas (Taikos pr. 15 D)</t>
  </si>
  <si>
    <t>2023-11-10  Pastatų šilumos punktų priežiūros paslaugų pirkimo-pardavimo sutartis Nr. 5-501</t>
  </si>
  <si>
    <t>Apleistų pastatų komunalinių paslaugų apmokėjimui (Draugystės g. 10, Vilties g. 3, Taikos pr. 23)</t>
  </si>
  <si>
    <t>Įgyvendinant šią priemonę bus užtikrinama Lietuvos Respublikos vietos savivaldos įstatymo 67 straipsnio 3 dalis, kuri numato, kad savivaldybės taryba savivaldybės biudžete nustato savivaldybės kontrolės ir audito tarnybai skiriamų asignavimų dydį.</t>
  </si>
  <si>
    <t>Debesijos paslaugų įsigijimas ir/arba informacinių sistemų perkėlimas į valstybės duomenų centro debesiją</t>
  </si>
  <si>
    <t xml:space="preserve">Licencijų įsigijimas </t>
  </si>
  <si>
    <t xml:space="preserve"> Kopijų saugojimo tarnybinės stoties įsigijimas</t>
  </si>
  <si>
    <t xml:space="preserve">Naujas ekranas Sedulinos alėjoje </t>
  </si>
  <si>
    <t xml:space="preserve">Gyventojų informavimas (VSA) , vertimo paslaugos </t>
  </si>
  <si>
    <t xml:space="preserve">Kūlverstukas jubiliejus </t>
  </si>
  <si>
    <t>02.01.03.01 (PP)</t>
  </si>
  <si>
    <t>Kompleksinėms paslaugoms šeimai organizuoti (KOPA)</t>
  </si>
  <si>
    <t>06.02.01.05. (PP)</t>
  </si>
  <si>
    <t>06.01.03.14. (PP)</t>
  </si>
  <si>
    <t xml:space="preserve">VšĮ Visagino ekonomikos plėtros agentūra </t>
  </si>
  <si>
    <t>Ekrano demontavimas Sedulinos alėjoje  atsiskaitymas</t>
  </si>
  <si>
    <t>tarybos vertimas+spauda, viešinimas</t>
  </si>
  <si>
    <t>Užtikrinti profesinio orientavimo paslaugų teikimą įvairaus amžiaus mokiniams bendrojo ugdymo mokyklose</t>
  </si>
  <si>
    <t xml:space="preserve">Mero ir politinio pasitikėjimo valstybės tarnautojai </t>
  </si>
  <si>
    <t xml:space="preserve">Gerosios vilties progimnazijos direktorius </t>
  </si>
  <si>
    <t xml:space="preserve">Verdenės gimnazijos direktorius </t>
  </si>
  <si>
    <t xml:space="preserve">Švietimo pagalbos direktorius </t>
  </si>
  <si>
    <t>Skirta ugdymo reikmėms finansuoti (MK)</t>
  </si>
  <si>
    <t>Kita speciali tikslinė dotacija (SD)</t>
  </si>
  <si>
    <t>Visagino savivaldybės bendruomenės sveikatos taryba, remdamasi kasmet atliekama Visagino savivaldybės gyventojų sergamumo ir mirtingumo pagrindinių priežasčių analize, nustato prioritetines Visagino savivaldybės visuomenės sveikatos rėmimo specialiosios programos kryptis. Visų šių programos priemonių tikslas – padėti pagerinti Visagino savivaldybės gyventojų sveikatą, mažinti sergamumą ir mirtingumą dėl labiausiai paplitusių priežasčių, kryptingai vystyti Visagino savivaldybės sveikatos apsaugos politiką, įtraukiant ir koordinuojant visas sveikatos srityje dirbančias valstybines ir nevyriausybines institucijas, žiniasklaidą bei savivaldybės gyventojus.</t>
  </si>
  <si>
    <t>Dalyvavimas programose, skirtose sveikatai stiprinti, – tai investicija, kuri ateityje padėtų sumažinti visuomenės išlaidas sveikatai. Norint pagerinti visuomenės sveikatą labai svarbu gerinti vaikų ir paauglių valgymo įpročius, o ugdymo įstaigos yra geriausia vieta daryti įtaką vaikų mitybos įpročiams ir juos keisti, nes kaip tik tuo metu valgymo įpročiai formuojasi.</t>
  </si>
  <si>
    <t>Savižudybių skaičius, tenkantis 100 tūkst. gyventojų</t>
  </si>
  <si>
    <t>Regioninė nauja priemonė</t>
  </si>
  <si>
    <t xml:space="preserve">nauja priemonė </t>
  </si>
  <si>
    <t xml:space="preserve">Pacientų pavėžėjimo paslaugų užtikrinimas 
</t>
  </si>
  <si>
    <t>pavdinimas pakoreguotas</t>
  </si>
  <si>
    <t xml:space="preserve">Neveiksnių asmenų būklės peržiūrėjimo užtikrinimui 
</t>
  </si>
  <si>
    <t>207,2</t>
  </si>
  <si>
    <t xml:space="preserve">Naujai teikiamų paslaugų skaičius </t>
  </si>
  <si>
    <t>Projekto „VšĮ Visagino pirminės sveikatos priežiūros centro paslaugų plėtra ir prieinamumo gerinimas, steigiant psichiatrijos dienos stacionarą“ įgyvendinimas</t>
  </si>
  <si>
    <t>SB (AA)</t>
  </si>
  <si>
    <t>Šia programa siekiama užtikrinti kokybišką Visagino savivaldybės gyventojų sveikatos priežiūrą, sveikatos politikos įgyvendinimą savivaldybės lygiu. Programos vykdymas padeda tikslingai paskirstyti lėšas, skiriamas sveikatos priežiūrai.</t>
  </si>
  <si>
    <t>Šios programos tikslas – vykdyti savarankiškąsias savivaldybės (socialinių paslaugų planavimas ir teikimas, socialinių paslaugų įstaigų išlaikymas, socialinių pašalpų ir kompensacijų skaičiavimas ir mokėjimas, bendradarbiavimas su nevyriausybinėmis organizacijomis, sąlygų savivaldybės teritorijoje gyvenančių neįgaliųjų socialiniam integravimui į bendruomenę sudarymas) ir valstybines (valstybės perduotas savivaldybėms) funkcijas (socialinės globos teikimo asmenims su sunkia negalia užtikrinimas, išmokų skaičiavimas ir mokėjimas, mokinių nemokamo maitinimo, mokinių aprūpinimo mokinio reikmenimis administravimas).</t>
  </si>
  <si>
    <t xml:space="preserve">Luko6kov programa </t>
  </si>
  <si>
    <t xml:space="preserve">Projekto „Paslaugų, skatinančių ir efektyviai palaikančių globą šeimos aplinkoje, vystymas“ įgyvendinimas 
</t>
  </si>
  <si>
    <t>Regioninio planavimo priemonė</t>
  </si>
  <si>
    <t xml:space="preserve">Regioninio planavimo priemonė </t>
  </si>
  <si>
    <t>Dienos centrų paslaugas gaunančių asmenų skaičius (asm. per metus)</t>
  </si>
  <si>
    <t xml:space="preserve">Socialines paslaugas gavusių asmenų skaičius per metus </t>
  </si>
  <si>
    <t>Viso</t>
  </si>
  <si>
    <t>Savivaldybės strateginio
plėtros plano priemonės kodas</t>
  </si>
  <si>
    <t>Nauja priemon4</t>
  </si>
  <si>
    <t>Projekto „VšĮ Visagino ligoninės infrastruktūros modernizavimas“ įgyvendinimas</t>
  </si>
  <si>
    <t xml:space="preserve">Lėšų, skirtų edukacinių programų, projektų įgyvendinimui tobulinant švietimo darbuotojų kvalifikaciją, skatinant jų iniciatyvas, panaudojimas proc. </t>
  </si>
  <si>
    <t xml:space="preserve">pakeistas pavadinimas </t>
  </si>
  <si>
    <t>(pasikeitė pavadinimas)
(Newton Rooms koncepto,  bendradarbiaujant su verslo atstovais  vystymas)</t>
  </si>
  <si>
    <t>(pasikeitė pavadinimas)</t>
  </si>
  <si>
    <t>pasikeitė pavadinimas)</t>
  </si>
  <si>
    <t>Nauja priemonė</t>
  </si>
  <si>
    <t xml:space="preserve">Įstaigų, kuriose teikiamos karjeros konsultavimo paslaugos, skaičius </t>
  </si>
  <si>
    <t xml:space="preserve">02.02.01.02. (TP)
</t>
  </si>
  <si>
    <t>Švietimas – prioritetinė valstybės remiama Lietuvos Respublikos raidos sritis. Švietimas turi įtakos Visagino kultūrinei, socialinei ir ekonominei pažangai. Šia programa siekiama laiduoti valstybės ir Visagino savivaldybės švietimo politikos įgyvendinimą, ugdymo kokybę, išsilavinimo standartus atitinkantį išsilavinimą, vaikų socialinį ir psichologinį saugumą, skatinti ir remti besimokančiųjų užimtumą; įgyvendinti priemones, numatytas Visagino savivaldybės strateginiame plėtros plane, Lietuvos Respublikos Vyriausybės bei ministerijų teisės aktuose.</t>
  </si>
  <si>
    <t xml:space="preserve">2.1.5. </t>
  </si>
  <si>
    <t>R-07-01-02-05</t>
  </si>
  <si>
    <t>R-07-01-02-06</t>
  </si>
  <si>
    <t>2.5.1.4.</t>
  </si>
  <si>
    <t>2.4.1.2.</t>
  </si>
  <si>
    <t>Jaunesnių nei 50 metų bei 50 metų ir vyresnio amžiaus mokytojų skaičiaus santykis (procentais)</t>
  </si>
  <si>
    <t>29,6/70,4</t>
  </si>
  <si>
    <t>30/70</t>
  </si>
  <si>
    <t>31/69</t>
  </si>
  <si>
    <t>32/68</t>
  </si>
  <si>
    <t>27,8/72,2</t>
  </si>
  <si>
    <t>28/72</t>
  </si>
  <si>
    <t>29/71</t>
  </si>
  <si>
    <t>24,8/75,2</t>
  </si>
  <si>
    <t>26/74</t>
  </si>
  <si>
    <t>39,3/60,7</t>
  </si>
  <si>
    <t>40/60</t>
  </si>
  <si>
    <t>41/59</t>
  </si>
  <si>
    <t>96 proc.</t>
  </si>
  <si>
    <t>94 proc</t>
  </si>
  <si>
    <t>2.1.5.</t>
  </si>
  <si>
    <t xml:space="preserve">Įgyvendintų projektų/priemonių skaičius </t>
  </si>
  <si>
    <t>Programa rengiama ir įgyvendinama, atsižvelgiant į Nacionaliniame pažangos plane nustatytus sporto politikos strateginius tikslus ir (arba) pažangos uždavinius, švietimo, mokslo ir sporto ministro patvirtintą strateginių sporto šakų sąrašą, vietos bendruomenės poreikius, jos pagrindu finansuojama ir kitaip prisidedama prie savivaldybės teritorijoje veiklą vykdančių sporto srityje veikiančių fizinių ir juridinių asmenų veiklos, vykdoma sporto objektų plėtra, užtikrinamas jų teikiamų paslaugų prieinamumas gyventojams, vykdoma šviečiamoji veikla, formuojamas savivaldybės teritorijoje gyvenančių žmonių pozityvus požiūris į sporto reikšmę sveikatai, rengiamos ir įgyvendinamos kitos fizinio aktyvumo ir aukšto meistriškumo sporto plėtojimo savivaldybėje priemonės.</t>
  </si>
  <si>
    <t xml:space="preserve">09.01.01.02. (PP)
</t>
  </si>
  <si>
    <t>~534</t>
  </si>
  <si>
    <t xml:space="preserve">Kūrybinių industrijų 2023-2027 m. programos įgyvendinimas
</t>
  </si>
  <si>
    <t xml:space="preserve">Projekto "Interreg V-A Latvia – Lithuania  programme 2021– 2027 the project "SnowPower" " įgyvendinimas
</t>
  </si>
  <si>
    <t>Programos tikslas - gyvendinti Visagino savivaldybės strateginiame plėtros plane numatytus tikslus ir uždavinius aplinkos būklei ir kokybei savivaldybėje pagerinti bei aplinkos užterštumui sumažinti</t>
  </si>
  <si>
    <t xml:space="preserve">Viso </t>
  </si>
  <si>
    <t>Socialinio būsto poreikio patenkinimas nuo jo laukiančiųjų asmenų (šeimų) skaičiaus, proc.“ | procentai:
Nuo viso laukiančiųjų</t>
  </si>
  <si>
    <t xml:space="preserve">pasikeitė pavadinimas </t>
  </si>
  <si>
    <t xml:space="preserve">Savivaldybės institucijų  funkcijų įgyvendinimas
</t>
  </si>
  <si>
    <t xml:space="preserve">Ši priemonė nebus įgyvendinama.
</t>
  </si>
  <si>
    <t xml:space="preserve">Savivaldybės administracijos patikėjimo teise valdomų statinių ir bendrojo naudojimo inžinerinių tinklų  techninė priežiūra </t>
  </si>
  <si>
    <t xml:space="preserve">Ši priemonė nebus įgyvendinama 2024 m. 
</t>
  </si>
  <si>
    <t>01.02.04.04. (TP)</t>
  </si>
  <si>
    <t>01.02.04.03. (TP)</t>
  </si>
  <si>
    <t>01.02.04.02.(TP)</t>
  </si>
  <si>
    <t>01.02.04.01. (TP)</t>
  </si>
  <si>
    <t>01.02.03.01 (TP)</t>
  </si>
  <si>
    <t>01.02.02.07. (TP)</t>
  </si>
  <si>
    <t>01.02.02.05. (TP)</t>
  </si>
  <si>
    <t>01.02.02.02. (TP)</t>
  </si>
  <si>
    <t>01.02.02.01. (TP)</t>
  </si>
  <si>
    <t>01.01.05.01. (TP)</t>
  </si>
  <si>
    <t>01.01.04.04 (TP)</t>
  </si>
  <si>
    <t>01.01.04.03 (TP)</t>
  </si>
  <si>
    <t>01.01.04.02. (TP)</t>
  </si>
  <si>
    <t>01.01.04.01. (TP)</t>
  </si>
  <si>
    <t>01.01.03.05. (TP)</t>
  </si>
  <si>
    <t>01.01.03.03. (TP)</t>
  </si>
  <si>
    <t>01.01.03.02. (TP)</t>
  </si>
  <si>
    <t>01.01.03.01. (TP)</t>
  </si>
  <si>
    <t>01.01.02.20. (TP)</t>
  </si>
  <si>
    <t>01.01.02.19. (TP)</t>
  </si>
  <si>
    <t>01.01.02.18. (TP)</t>
  </si>
  <si>
    <t>01.01.02.17. (TP)</t>
  </si>
  <si>
    <t>01.01.02.16. (TP)</t>
  </si>
  <si>
    <t>01.01.02.15. (TP)</t>
  </si>
  <si>
    <t>01.01.02.14. (TP)</t>
  </si>
  <si>
    <t>01.01.02.13. (TP)</t>
  </si>
  <si>
    <t>01.01.02.12. (TP)</t>
  </si>
  <si>
    <t>01.01.02.11. (TP)</t>
  </si>
  <si>
    <t>01.01.02.10. (TP)</t>
  </si>
  <si>
    <t>01.01.02.09. (TP)</t>
  </si>
  <si>
    <t>01.01.02.07. (TP)</t>
  </si>
  <si>
    <t>01.01.02.06. (TP)</t>
  </si>
  <si>
    <t>01.01.02.05. (TP)</t>
  </si>
  <si>
    <t>01.01.02.04. (TP)</t>
  </si>
  <si>
    <t>01.01.02.03. (TP)</t>
  </si>
  <si>
    <t>01.01.02.02. (TP)</t>
  </si>
  <si>
    <t>1.4. Europos Sąjungos ir kitos tarptautinės finansinės paramos lėšos (EGDP, VB)</t>
  </si>
  <si>
    <t>Programos tikslas - kryptingai vykdyti valstybės ir savivaldybės kultūros politiką. Šios programos priemonėmis numatoma sudaryti sąlygas savivaldybės gyventojams susipažinti su šiuolaikinėmis ir tradicinėmis profesionalaus ir mėgėjų meno formomis, ugdyti gyventojų kūrybiškumo ir kritinio mąstymo gebėjimus, etninę savimonę, meninį ir estetinį skonį, skatinti tautinio identiteto plėtrą ir menų įvairovę, skaitymo aktyvinimą bei mokymąsi visą gyvenimą. Sudarant optimalias sąlygas gyventojams dalyvauti kultūrinime gyvenime, meno saviveiklos kolektyvuose, įgyvendinant kultūrines-edukacines programas, skatinti įvairaus amžiaus gyventojų užimtumą, mažinti negatyvių visuomenės veiksnių poveikį, formuoti Visagino savivaldybės kaip įvairiatautės, kultūriškai išprususios bendruomenės įvaizdį.</t>
  </si>
  <si>
    <t>Pagrindiniai programos tikslai yra jaunimo, jaunimo organizacijų, vietos bendruomenių, daugiabučių namų bendrijų ir savininkų veiklos skatinimas, nusikalstamumo mažinimo bei savivaldybės visuomenės saugumo užtikrinimas ir pilietinio sąmoningumo stiprinimas. 
Siekiama įvairias gyventojų grupes įtraukti į Visagino savivaldybės ir savivaldybės administracijos inicijuojamų / organizuojamų priemonių įgyvendinimą, inicijuoti, formuoti ir palaikyti pilietiškumo, iniciatyvumo, bendruomeniškumo skatinimo mechanizmus.</t>
  </si>
  <si>
    <t>(keičiasi pavadinimas)</t>
  </si>
  <si>
    <t xml:space="preserve"> NVO tarybos veiklos efektyvumo užtikrinimas
</t>
  </si>
  <si>
    <t>nauja priemone</t>
  </si>
  <si>
    <t xml:space="preserve">Rengti ir stiprinti edukacines programas bei stovyklas (įskaitant tradicinės kultūros stovyklas) skirtingo amžiaus diasporos vaikams ir jaunimui, kviesti diasporos atstovus dalyvauti įvairiuose renginiuose Lietuvoje
</t>
  </si>
  <si>
    <t xml:space="preserve">Priemonė įgyvendinama pagal poreikį.
</t>
  </si>
  <si>
    <t>Priemonė įgyvendinama pagal poreikį.</t>
  </si>
  <si>
    <t>Programos tikslas -  padidinti miesto viešųjų erdvių patrauklumą, užtikrinti švarą ir tvarką, įgyvendinti priemones, skirtas bendruomenės infrastruktūros plėtrai, pagerinti gyvenimo aplinką ir kokybę, pagerinti kelių ir gatvių dangas, rekonstruoti kelius, rekonstruoti esamas automobilių stovėjimo aikšteles bei įrengti naujas, sudaryti gyventojams patogias susisiekimo sąlygas nuostolingais keleivių pervežimo maršrutais, teikti gyventojams kokybiškas komunalines paslaugas ir gerinti jų kokybę, prižiūrėti ir modernizuoti miesto inžinerinės ir rekreacinės infrastruktūros objektus, prižiūrėti ir modernizuoti gyvenamąjį fondą, gerinti kapinių priežiūrą ir viešąją infrastruktūrą.</t>
  </si>
  <si>
    <t xml:space="preserve"> Savivaldybės viešųjų pastatų, taikant energijos išteklių panaudojimo efektyvumo didinimo priemones, modernizavimas
</t>
  </si>
  <si>
    <t xml:space="preserve">keičiasi pavadinimas </t>
  </si>
  <si>
    <t xml:space="preserve">Apšvietimo tinklų ir elektros įrangos remontas, priežiūra ir plėtra 
</t>
  </si>
  <si>
    <t xml:space="preserve">1 programa
2 programa
3 programa
4 programa
5 programa
6 programa 
7 programa </t>
  </si>
  <si>
    <t>8 programa
10 programa</t>
  </si>
  <si>
    <t>I PRIORITETINIS TIKSLAS.  
KONKURENCINGO VERSLO SKATINIMAS 
IR VIETINĖS EKONOMIKOS TVARI PLĖTRA</t>
  </si>
  <si>
    <t>II PRIORITETINIS TIKSLAS. 
SOCIALINĖS GEROVĖS KŪRIMAS, 
SUMANIAI, PAŽANGIAI, BESIMOKANČIAI, 
MODERNIAI IR LAIMINGAI  BENDRUOMENEI</t>
  </si>
  <si>
    <t xml:space="preserve"> III PRIORITETINIS TIKSLAS. 
TVARUS, SUBALANSUOTAS SAVIVALDYBĖS 
APLINKOS VYSTYMAS IR PLĖTRA</t>
  </si>
  <si>
    <t>2023-2030 m. plėtros plano prioritetiniai tikslai</t>
  </si>
  <si>
    <t xml:space="preserve">Visagino kūrybos menų akademija </t>
  </si>
  <si>
    <t>Kovo 11 d. renginiai</t>
  </si>
  <si>
    <t>Visagino miesto garbės piliečių pagerbimas. Priemonė įgyvendinama, siekiant pagerbti Visagino miesto garbės piliečius (renginių bilietai, garbės piliečio ženklaiir kt.)</t>
  </si>
  <si>
    <t>Įgyvendinant šią priemonę siekiama užtikrinti vaizdo stebėjimo kamerų tinklo efektyvų darbą, siekiant užtikrinti saugumą mieste.</t>
  </si>
  <si>
    <t xml:space="preserve">Šeimos ir vaiko gerovės centras </t>
  </si>
  <si>
    <t xml:space="preserve">Visagino kultūros centras </t>
  </si>
  <si>
    <t xml:space="preserve">Viešoji biblioteka </t>
  </si>
  <si>
    <t xml:space="preserve">Visagino miesto fontano priežiūros  darbai </t>
  </si>
  <si>
    <t xml:space="preserve">Lietuvos Respublikos vietos savivaldos įstatymo 7 straipsnio 1 punkto įgyvendinimo užtikrinimas.  </t>
  </si>
  <si>
    <t xml:space="preserve">Lietuvos Respublikos vietos savivaldos įstatymo 7 straipsnio 19  punkto įgyvendinimas. </t>
  </si>
  <si>
    <t xml:space="preserve">Lietuvos Respublikos vietos savivaldos įstatymo  7 straipsnio 28  punkto nuostatų įgyvendinimas. </t>
  </si>
  <si>
    <t xml:space="preserve">Lietuvos Respublikos vietos savivaldos įstatymo   7 straipsnio 28  punkto įgyvendinimo užtikrinimas.  </t>
  </si>
  <si>
    <t>Lietuvos Respublikos vietos savivaldos įstatymo 7 straipsnio 2  punkto įgyvendinimo užtikrinimas.</t>
  </si>
  <si>
    <t xml:space="preserve">Lietuvos Respublikos vietos savivaldos įstatymo 7 straipsnio 27 punkto įgyvendinimo užtikrinimas. </t>
  </si>
  <si>
    <t xml:space="preserve">Lietuvos Respublikos vietos savivaldos įstatymo  7 straipsnio 36 punkto įgyvendinimo užtikrinimas. </t>
  </si>
  <si>
    <t>Įgyvendintų savivaldybėms teisės aktuose nustatytų priemonių, vykdant savivaldybėms perduotą valstybinę funkciją ,,Dalyvavimas rengiant ir vykdant mobilizaciją, demobilizaciją, priimančiosios šalies paramą“, procentas, palyginti su visu teisės aktuose nustatytų priemonių
skaičiumi</t>
  </si>
  <si>
    <t xml:space="preserve">Lietuvos Respublikos vietos savivaldos įstatymo 7 straipsnio 3 punkto įgyvendinimo užtikrinimas.  </t>
  </si>
  <si>
    <t xml:space="preserve">Lietuvos Respublikos vietos savivaldos įstatymo 7 straipsnio 13 punkto įgyvendinimo užtikrinimas. </t>
  </si>
  <si>
    <t xml:space="preserve">Lietuvos Respublikos vietos savivaldos įstatymo 7 straipsnio 35 punkto įgyvendinimas. </t>
  </si>
  <si>
    <t xml:space="preserve">Lietuvos Respublikos vietos savivaldos įstatymo 7 straipsnio 34 punkto įgyvendinimo užtikrinimas. </t>
  </si>
  <si>
    <t xml:space="preserve">VšĮ Visagino ligoninė
</t>
  </si>
  <si>
    <t xml:space="preserve">VšĮ Visagino pirminės sveikatos priežiūros centras </t>
  </si>
  <si>
    <t xml:space="preserve">UAB „Visagino energija“ </t>
  </si>
  <si>
    <t xml:space="preserve">UAB „Visagino būstas“ </t>
  </si>
  <si>
    <t xml:space="preserve">VšĮ Visagino turizmo plėtros centras </t>
  </si>
  <si>
    <t>VšĮ Visagino miesto muziejus </t>
  </si>
  <si>
    <t xml:space="preserve">Viešoji įstaiga Visagino futbolo centras </t>
  </si>
  <si>
    <t>Iš jų: regioninių pažangos priemonių lėšos (RP)</t>
  </si>
  <si>
    <t>254 ūkst./ metus</t>
  </si>
  <si>
    <t xml:space="preserve">Lietuvos Respublikos vietos savivaldos įstatymo 6 straipsnio 7punktas numato bendrojo ugdymo mokyklų mokinių, gyvenančių kaimo gyvenamosiose vietovėse, neatlygintinio pavėžėjimo į mokyklas ir į namus organizavimą. </t>
  </si>
  <si>
    <t xml:space="preserve">Įgyvendinant priemonę bus apmokamos sąskaitos už savivaldybės gatvių apšvietimą. </t>
  </si>
  <si>
    <t xml:space="preserve">Trumpas priemonės įgyvendinimo aprašymas
</t>
  </si>
  <si>
    <t xml:space="preserve">Projekto „Visos dienos užimtumo erdvių sukūrimas Visagino bendrojo ugdymo mokyklose“ įgyvendinimas
</t>
  </si>
  <si>
    <t>MISIJA</t>
  </si>
  <si>
    <t>I SKYRIUS
SAVIVALDYBĖS MISIJA IR VEIKLOS PRIORITETAI</t>
  </si>
  <si>
    <t>SAVIVALDYBĖS PRIORITETAI</t>
  </si>
  <si>
    <r>
      <t>Švietimo pagalbą gaunančių mokinių dalis</t>
    </r>
    <r>
      <rPr>
        <sz val="9"/>
        <rFont val="Arial"/>
        <family val="2"/>
      </rPr>
      <t xml:space="preserve"> (</t>
    </r>
    <r>
      <rPr>
        <sz val="9"/>
        <color rgb="FF000000"/>
        <rFont val="Arial"/>
        <family val="2"/>
      </rPr>
      <t>nuo visų mokinių, kuriems nustatytas švietimo pagalbos poreikis, skaičiaus)</t>
    </r>
  </si>
  <si>
    <r>
      <t>Teikiama parama vienkartinėmis, tikslinėmis, periodinėmis ir sąlyginėmis pašalpomis asmenims ir šeimoms, kurios vadovaujantis Piniginės socialinės paramos nepasiturintiems Visagino savivaldybės gyventojams teikimo tvarkos aprašu, patvirtintu Visagino savivaldybės tarybos 2015 m. sausio 29 d. sprendimu Nr. TS-1, turi teisę į šią paramą. Teikiama vienkartinė parama užsieniečiams, pasitraukusiems iš Ukrainos dėl Rusijos Federacijos karinių veiksmų. Vienkartinės, tikslinės, sąlyginės ir periodinės pašalpos skiriamos siekiant padėti bendrai gyvenantiems asmenims arba vienam gyvenančiam asmeniui, kai jie yra išnaudoję visas kitų pajamų gavimo galimybes. Kita socialinė parama neužtikrina ilgalaikio ekonominio ir socialinio saugumo, o tik padeda bendrai gyvenantiems asmenims ar vienam gyvenančiam asmeniui esant sunkioms materialinėms sąlygoms. Skiriama parama vaistams, gydymo išlaidoms apmokėti, mokesčiams už komunalines paslaugas iš dalies apmokėti, gaisro atveju, įvykus nelaimei, nukentėjus nuo gaisro, grįžus iš įkalinimo įstaigos ir pan. (savivaldybės biudžeto lėšos). Parama teikiama kiekvieną mėnesį, savivaldybės gyventojų prašymus šiai paramai gauti svarsto Visagino savivaldybės administracijos direktoriaus įsakymu sudaryta Visagino savivaldybės socialinių reikalų komisija</t>
    </r>
    <r>
      <rPr>
        <sz val="9"/>
        <color rgb="FFFF0000"/>
        <rFont val="Arial"/>
        <family val="2"/>
      </rPr>
      <t>.</t>
    </r>
  </si>
  <si>
    <t>Įgyvendinti Lietuvos Respublikos gyvūnų gerovės ir apsaugos įstatymo nuostatas</t>
  </si>
  <si>
    <r>
      <rPr>
        <b/>
        <sz val="9"/>
        <rFont val="Arial"/>
        <family val="2"/>
      </rPr>
      <t>Visagino inovacijų klasteris veiklos vykdymas</t>
    </r>
    <r>
      <rPr>
        <b/>
        <sz val="9"/>
        <color rgb="FFFF0000"/>
        <rFont val="Arial"/>
        <family val="2"/>
      </rPr>
      <t xml:space="preserve">
</t>
    </r>
  </si>
  <si>
    <t>Laisvosios ekonominės zonos steigimo Visagino savivaldybėje proceso organizavimas</t>
  </si>
  <si>
    <t>Trumpas priemonės įgyvendinimo aprašymas</t>
  </si>
  <si>
    <t>Trumpas priemonės įgyvendinimo aprašymase</t>
  </si>
  <si>
    <t>27</t>
  </si>
  <si>
    <t>7000</t>
  </si>
  <si>
    <t>1400</t>
  </si>
  <si>
    <t>998</t>
  </si>
  <si>
    <t>4/100</t>
  </si>
  <si>
    <t>SB (L)</t>
  </si>
  <si>
    <t>L</t>
  </si>
  <si>
    <t>ĮP L</t>
  </si>
  <si>
    <t>L IP</t>
  </si>
  <si>
    <t>BN</t>
  </si>
  <si>
    <t>4000</t>
  </si>
  <si>
    <t>be kiku2io</t>
  </si>
  <si>
    <t>Viso:</t>
  </si>
  <si>
    <t>Avariniams darbams panaudotų lėšų proc. nuo planuotų</t>
  </si>
  <si>
    <t xml:space="preserve">Drūkšių vizualizacija </t>
  </si>
  <si>
    <t>Trūkstamų specialistų pritraukimo į Visagino savivaldybės įstaigas programos įgyvendinimas</t>
  </si>
  <si>
    <t>Pritrauktų specialistų  skaičius</t>
  </si>
  <si>
    <t>Projekto „Darnaus judumo infrastruktūros įrengimas Visagino mieste“ įgyvendinimas</t>
  </si>
  <si>
    <t>Projekto „Infrastruktūros sutvarkymas šalia nebaigto statyti pastato, esančio Festivalio g. 5, pertvarkant teritoriją į automobilių stovėjimo aikštelę" įgyvendinimas</t>
  </si>
  <si>
    <t>Projekto „Autobusų stoties su turizmo informacijos centru įrengimas  Visagino savivaldybėje" įgyvendinimas</t>
  </si>
  <si>
    <t xml:space="preserve">Pastato, esančio Vilties g. 3, rekonstravimas ir atlaisvintos teritorijos sutvarkymas, pritaikant daugiafunkcinio centro įrengimui </t>
  </si>
  <si>
    <t>Įgyvendinant priemonę planuojama ieškoti sprendimo būdų ir  finansavimo galimybių pastato, esančio Vilties g. 3, rekonstravimui ir pritaikymui daugiafunkcio centro įrengimui.</t>
  </si>
  <si>
    <t>Projekto „Pastato, esančio Tarybų g. 23. Visagine  patalpų atnaujinimas ir pritaikymas  Visagino miesto muziejaus veiklai" įgyvendinimas</t>
  </si>
  <si>
    <t>Visagino miesto muziejaus veiklai pritaikytų patalpų plotas, m2</t>
  </si>
  <si>
    <t>Atnaujintų objektų skaičius</t>
  </si>
  <si>
    <t>Projekto „VšĮ IAE regiono verslo ir turizmo informacijos centro pastato, esančio adresu Taikos g. 7, energijos vartojimo efektyvumo didinimas" įgyvendinimas</t>
  </si>
  <si>
    <t>Bendradarbystės centro  "Spiečius" veiklos užtikrinimas</t>
  </si>
  <si>
    <t xml:space="preserve"> Erdvių, pritaikytų įrengti  darbo vietas kūrybinių industrijų sektoriuje, skaičius (kv. m)</t>
  </si>
  <si>
    <t>Erdvių pritaikytų įrengti  darbo vietas kūrybinių industrijų sektoriuje skaičius (kv. m)</t>
  </si>
  <si>
    <t xml:space="preserve">Priemonės įgyvendinimas prisidės prie Strateginio plėtros plano priemonės Investavimo paketo/teisės aktų projektų parengimas stambaus investuotojo (-ų) pritraukimui (pramonės teritorijos/ LEZ suformavimui).
Parengus investavimo paketą/teisės aktų projektus investuotojui (sudarius investicijų sutartį), planuojama sutvarkyti infrastruktūrą iki planuojamo suteikti sklypo stambiam investuotojui (pramonės teritorija/laisvoji ekonominė zona) ribų įrengimas ir (ar) sutvarkymas (Drūkšinių k., Visagino sav.).
</t>
  </si>
  <si>
    <t>2020-2030 m. programos įgyvendinimas. Įgyvendinant šią priemonę bus įgyvendinama viena iš Visagino savivaldybėje išskiriamų 2020–2030 metams prioritetinės ekonomikos plėtros krypčių „Kūrybinė industrija“, kurios buvo patvirtintos Visagino savivaldybės tarybos 2019 m. spalio 30 d. sprendimu Nr. TS-253 „Dėl Visagino savivaldybės 2020–2030 m. ekonominės plėtros gairių patvirtinimo“. Priemonę įgyvendins viešoji įstaiga Visagino ekonomikos plėtros agentūra. 
Programos tikslas – sukuriant palankias sąlygas skatinti kūrybinių industrijų verslumo vystymąsi mieste, pritraukti į miestą naujų šio sektoriaus įmonių ir talentų bei fasilituoti visų suinteresuotų šalių bendradarbiavimą, kuris užtikrintų darnią ekonomikos plėtrą bei Visagino gyventojų gerovę.
Kūrybinės industrijos sudaro naują ir augantį bei stiprėjantį ekonomikos sektorių, kuris ženkliai prisideda prie miestų bei regionų konkurencingumo stiprinimo. Taip pat įgyvendinant priemonę bus įveiklintas  Visagino inovacijų klasteris.</t>
  </si>
  <si>
    <t>Projekto „Apleistų / avarinių pastatų nugriovimas ir teritorijos valymas, regeneruojant buvusį karinį miestelį ir pritaikant kompleksą inovatyviai pramonei vystyti - SMART PARK įkūrimui" įgyvendinimas</t>
  </si>
  <si>
    <t>Investicijų programos „Visagino darnios ateities kūrimas" parengimas (angl. investment concept "Creating a sustainable future in Visaginas", EUCF (European city facility) projekto įgyvendinimas)</t>
  </si>
  <si>
    <t>Projekto „Saulės jėgainių parko Visagino savivaldybėje" įrengimas</t>
  </si>
  <si>
    <t xml:space="preserve">Projekto  „Oro monitoringo sistemos modernizavimas, įrengiant stacionarias oro taršos stebėjimo vietas Visagino savivaldybėje" įgyvendinimas </t>
  </si>
  <si>
    <t xml:space="preserve">Projekto  „Didelių gabaritų atliekų surinkimo aikštelės įrengimas Visagino mieste" įgyvendinimas 
</t>
  </si>
  <si>
    <t>Projekto „Komunalinių atliekų rūšiuojamojo atliekų surinkimo pajėgumų plėtra Visagino savivaldybėje" įgyvendinimas</t>
  </si>
  <si>
    <t xml:space="preserve">Investicijos į rūšiuojamojo atliekų surinkimo įrenginius, Eur </t>
  </si>
  <si>
    <t xml:space="preserve">Projekto „Visagino savivaldybės sveikatos centro sveikatos priežiūros paslaugoms teikti reikiamos infrastruktūros
modernizavimas" įgyvendinimas </t>
  </si>
  <si>
    <t xml:space="preserve">Projekto „Ilgalaikės priežiūros paslaugų plėtros Visagino savivaldybėje užtikrinimas" įgyvendinimas 
</t>
  </si>
  <si>
    <t>2021 m. spalio 14 d. Visagino savivaldybės tarybos sprendimu Nr. TS–205 „Dėl Trūkstamų specialybių gydytojų motyvavimo dirbti Visagino savivaldybės viešosiose asmens sveikatos priežiūros įstaigose programos patvirtinimo“ buvo patvirtinta programa, kurios pagrindinis tikslas – nustatyti skatinimo priemonių skyrimo naujai atvykstantiems dirbti trūkstamų specialybių gydytojams ir rezidentams Visagino viešosiose asmens sveikatos priežiūros įstaigose tvarką, kad būtų užtikrintas kokybiškas asmens sveikatos priežiūros paslaugų teikimas savivaldybės gyventojams bei remti studentus, kad baigę studijas ir rezidentūros studijas atvyktų dirbti į Visagino savivaldybę. Programoje numatytos skatinimo priemonės taikomos įsidarbinusiems pirmą kartą įstaigoje trūkstamos specialybės gydytojams ir rezidentams ne mažesniu kaip 0,5 etato krūviu. Skatinimo priemonių finansavimo dydis yra taikomas proporcingai dirbtam darbo krūviui (bet ne daugiau kaip vieno etato darbo krūviui). Gydytojas ar rezidentas pirmą kartą dėl skatinimo priemonės skyrimo gali kreiptis per 12 mėnesių nuo darbo sutarties su ASPĮ pasirašymo dienos.</t>
  </si>
  <si>
    <t>Įkurtų Kompleksinių paslaugų sutrikusios raidos vaikams bei pagalbos jų šeimoms centrų, skaičius</t>
  </si>
  <si>
    <t>Pagerinti  ir plėsti socialinių paslaugų kokybę ir prieinamumą, sukurti jų plėtrai reikalingą  infrastruktūrą</t>
  </si>
  <si>
    <t xml:space="preserve">Socialinės pašalpos gavėjų, skaičius </t>
  </si>
  <si>
    <t>Išmokų nedarbingiems neįgaliems asmenims, auginantiems vaikus iki 18 metų bei vaikus iki 24 metų, besimokančius bendrojo lavinimo mokyklose, profesinėse mokyklose, aukštesniosiose ar aukštosiose mokyklose dienine forma, mokėjimas (SADM)</t>
  </si>
  <si>
    <t>Nedarbingiems neįgaliesiems, auginantiems vaikus, mokama 20 proc. BSI kompensacija už komunalines paslaugas.</t>
  </si>
  <si>
    <t>Būsto pritaikymas žmonėms su negalia pagal jų pateiktus prašymus ir nustatytą poreikį būsto pritaikymui.</t>
  </si>
  <si>
    <t>Transporto paslaugų organizavimas ir teikimas  vaikams su negalia ir jų šeimoms, suaugusiems asmenims su negalia ir jų šeimoms, senyvo amžiaus asmenims ir jų šeimoms, socialinę riziką patiriančioms šeimoms, asmenims, kurie dėl ligos negali naudotis visuomeniniu ar individualiu transportu.</t>
  </si>
  <si>
    <t xml:space="preserve">Įgyvendinant šią priemonę bus tvarkomas ir prižiūrimas Visagino savivaldybei priklausantis gyvenamasis būstas, priskiriamas įvairioms socialinėms reikmėms. </t>
  </si>
  <si>
    <t>Suremontuoto, gyvenamo būsto, priskiriamo įvairioms socialinėms  reikmėms skaičius</t>
  </si>
  <si>
    <t xml:space="preserve">Įgyvendinant šią priemonę gali būti kompensuojamos  fizinių ar juridinių asmenų, perdavusių savo būstą ar patalpas neatlygintinai naudotis panaudos pagrindais dėl karinių veiksmų iš Ukrainos pasitraukusiems gyventojams, patirtos išlaidos. </t>
  </si>
  <si>
    <t xml:space="preserve">Visagino savivaldybės šeimos komisija, kuri yra patariamoji prie Savivaldybės tarybos, nusprendė parengti Šeimos stiprinimo programą Visagino savivaldybėje, kurioje buvo nuspręsta  įtraukti 2 šeimų rėmimo priemones:
1. Pagalba (parama) gimus vaikui – 200 Eur vaikui.
2. 50 eurų parama mokymosi reikmenimis kiekvienam pirmokui. </t>
  </si>
  <si>
    <t>Socialinės reabilitacijos neįgaliesiems bendruomenėje paslaugas gavusių asmenų skaičius</t>
  </si>
  <si>
    <t>Vaikų, gavusių dienos centre teikiamas socialines paslaugas, skaičius</t>
  </si>
  <si>
    <t>Projekto „Apleisto (nenaudojamo) buvusio visuomeninio pastato konversija ir pritaikymas Savarankiško gyvenimo namų Visagine įkūrimui"</t>
  </si>
  <si>
    <t>Socialiai pažeidžiamų, socialinę riziką (atskirtį) patiriančių asmenų, gavusių paslaugas naujoje ar modernizuotoje infrastruktūroje skaičius per metus</t>
  </si>
  <si>
    <t>Projekto „Bendruomeninių vaikų globos namų įkūrimas ir vaikų dienos centrų tinklo plėtra Visagino savivaldybėje” įgyvendinimas</t>
  </si>
  <si>
    <t xml:space="preserve">Projekto „Perėjimas nuo institucinės globos prie bendruomeninių paslaugų Sostinės regione, Vidurio ir vakarų Lietuvos regione" įgyvendinimas 
</t>
  </si>
  <si>
    <t>Projekto „Pabėgėlių iš Ukrainos priėmimas ir ankstyva integracija“ įgyvendinimas</t>
  </si>
  <si>
    <t>Konkursų ir projektų, kurių pagrindinis tikslas gilinti gyventojų žinias  apie  asmenų lygybę ir draudimą varžyti žmogaus teises ir teikti jam privilegijas lyties, rasės, tautybės, kalbos, kilmės, socialinės padėties, tikėjimo, įsitikinimų ar pažiūrų pagrindu, kovos su prekyba žmonėmis srityje, taip pat apie teikiamą pagalbą smurtą patyrusiems asmenims, organizavimas ir įgyvendinimas</t>
  </si>
  <si>
    <t>Įgyvendinant priemonę bus įgyvendinamos priemonės, kurių tikslas informuoti visuomenę apie nuostatas, įtvirtinančias lyčių lygybės, lygių galimybių ir nediskriminavimo nuostatas (dėl lyties, rasės, tautybės, pilietybės, kalbos, kilmės, socialinės padėties, tikėjimo, įsitikinimų ar pažiūrų, amžiaus, negalios, lytinės orientacijos, etninės priklausomybės, religijos ir kitų diskriminacinių motyvų). Taip pat bus organizuojamos prevencinės priemonės (metodinės ir konsultacinės) dėl smurto artimoje aplinkoje (įskaitant pagalbos priemones), lygių galimybių, kovos su prekyba žmonėmis srityje.</t>
  </si>
  <si>
    <t xml:space="preserve">Kolektyvų dalyvavusių, Dainų šventės šimtmetyje skaičius </t>
  </si>
  <si>
    <t>Siekiant formuoti regioninį išskirtinumą, kurti savitus, aktualaus turinio, kokybiškus kultūros produktus ir paslaugas, sudaryti sąlygas savivaldybės kultūros lauko veikėjų kultūrinių,  kūrybinių iniciatyvų įgyvendinimui, tam pasitelkti kūrybiškos vietokūros metodo teikiamas galimybes bei sudaryti sąlygas profesionalaus meno prieinamumui</t>
  </si>
  <si>
    <t>Organizuota svarbių datų ir sukakčių paminėjimų, skaičius</t>
  </si>
  <si>
    <t xml:space="preserve">Siekiant įgyvendinti šią priemonę numatytos dvi kryptys:
- 2020 m. rugpjūčio 27 d. Visagino savivaldybės taryba sprendimu Nr. TS-184 „Dėl Kultūros projektų finansavimo konkurso nuostatų patvirtinimo“ patvirtino Visagino savivaldybės kultūros projektų finansavimo konkurso nuostatus, pagrindinis tikslas skatinti kultūros ir meno įvairovę, sklaidą, prieinamumą įvairioms visuomenės grupėms Visagino savivaldybėje. Konkurso būdu lėšos bus skiriamos muzikos, teatro, šokio, vizualiojo meno, literatūros, etninės kultūros, kultūros paveldo srities ir tarpsritiniams (įvairias meno ar kultūros sritis jungiantys projektai ir jų sklaida) projektams iš dalies finansuoti;
- taip pat šios priemonės lėšomis galės būti užtikrintas Lietuvos kultūros tarybai teikiamų projektų nuosavai lėšų daliai padengti reikalingas kofinansavimas, kurio nepadengia skirtos lėšos. Tam Visagino savivaldybės administracijos direktoriaus 2020 m. liepos 17 d. įsakymu ĮV-E-389 yra patvirtintas Kultūros rėmimo fondo lėšomis finansuojamų projektų, įgyvendinamų Visagino savivaldybėje, bendrafinansavimo tvarkos aprašas. </t>
  </si>
  <si>
    <t xml:space="preserve">Organizuota sociokultūrinių bendruomenės poreikius tenkinančių renginių, skaičius </t>
  </si>
  <si>
    <t>Įgyvendinant šią priemonę bus organizuojami Miesto eglės įžiebimo, Kalėdų šventės ir kalėdinio laikotarpio renginiai, miesto papuošimui reikalingų instaliacijų įsigyjimas.</t>
  </si>
  <si>
    <t xml:space="preserve">Parengtų programų skaičius </t>
  </si>
  <si>
    <t xml:space="preserve">Įstaigų, kurioms užtikrinamas veiklos finansavimas, skaičius </t>
  </si>
  <si>
    <t>Didinti vaikų ir jaunimo socioedukacinių veiklų, socialiai prasmingo užimtumo, profesinio mokymo, saviraiškos bei švietimo pagalbos įvairovę ir prieinamumą</t>
  </si>
  <si>
    <t>Lėšų, skirtų pagrindinio ugdymo pasiekimų patikrinimo organizavimui ir brandos egzaminų vykdymui, panaudojimas proc.</t>
  </si>
  <si>
    <t xml:space="preserve">Tūkstantmečio mokyklų Visagino ir Ignalinos rajono savivaldybių švietimo pažangos plane Visagino savivaldybei numatytų priemonių įgyvendinimas proc., nuo visų planuotų įgyvendinti </t>
  </si>
  <si>
    <t xml:space="preserve">Projekto  „Stiprinti ikimokyklinio 
ugdymo įstaigų tinklą, kuriant naujas ugdymo veiklas" įgyvendinimas
</t>
  </si>
  <si>
    <t xml:space="preserve">Projekto „Visagino progimnazijų erdvių pritaikymas negalią turinčių mokinių ugdymuisi įtraukiuoju būdu" įgyvendinimas
</t>
  </si>
  <si>
    <t>Sukurtų inovatyvių erdvių skaičius ikimokyklinio ugdymo įstaigose, kv.m</t>
  </si>
  <si>
    <t>Mokyklos, kuriose buvo įdiegtos universalaus dizaino ir kitos inžinerinės priemonės pritaikant aplinką asmenims, turintiems negalią</t>
  </si>
  <si>
    <t>Mokinių, besinaudojančių sukurta visos dienos mokyklos infrastruktūra, skaičius</t>
  </si>
  <si>
    <t>Vaikų vasaros poilsio organizavimas, saugios, socialines-emocines kompetencijas ugdančios ugdymo aplinkos kūrimas</t>
  </si>
  <si>
    <t>Įgyvendinant priemonę bus užtikrintas karjeros konsultavimo paslaugų teikimas mokiniams bei  įdarbinti karjeros specialistai, teikiantys profesinio orientavimo paslaugas mokiniams bendrojo ugdymo mokyklose. Profesinio orientavimo paslaugos teikiamos visose 5 mokyklose: „Atgimimo“ gimnazija, Draugystės progimnazija, „Gerosios vilties“ progimnazija, „Verdenės“ gimnazija ir „Žiburio“ pagrindinė mokykla, o karjeros specialistai, teikiantys šias paslaugas, įdarbinti 3 įstaigose: „Gerosios vilties“ progimnazija, „Verdenės“ gimnazija ir Visagino švietimo pagalbos tarnyba (aptarnauja „Atgimimo“ gimnaziją, Draugystės progimnaziją ir „Žiburio“ pagrindinę mokyklą).</t>
  </si>
  <si>
    <t>Įgyvendinant šią priemonę planuojama  užtikrinti Visagino savivaldybės merui, administracijai bei Visagino savivaldybės tarybai priskirtų funkcijų įgyvendinimą.</t>
  </si>
  <si>
    <t xml:space="preserve">Savivaldybės tarybos mero ir sekretoriato darbo organizavimas </t>
  </si>
  <si>
    <r>
      <t>Lietuvos Respublikos vietos savivaldos įstatymo 7 straipsnio 12 punkto įgyvendinimas.</t>
    </r>
    <r>
      <rPr>
        <sz val="9"/>
        <color rgb="FFFF0000"/>
        <rFont val="Arial"/>
        <family val="2"/>
      </rPr>
      <t xml:space="preserve"> </t>
    </r>
  </si>
  <si>
    <t xml:space="preserve">Lietuvos Respublikos vietos savivaldos įstatymo  7 straipsnio 20, 21, 22 punktų įgyvendinimo užtikrinimas. </t>
  </si>
  <si>
    <t>Užtikrinti Vietos savivaldos įstatyme numatytų  valstybės deleguotų žemės ūkio funkcijų vykdymą, proc.</t>
  </si>
  <si>
    <t xml:space="preserve">Nepertraukiamas valstybinės funkcijos (valstybės perduotos savivaldybėms), susijusios su savivaldybėms priskirtos valstybinės žemės ir kito valstybės turto valdymu, naudojimu ir disponavimu juo patikėjimo teise, įgyvendinimas savivaldybių teritorijoje esančių miestų ir
miestelių teritorijų ribose valstybinėje žemėje, proc. </t>
  </si>
  <si>
    <t xml:space="preserve"> Įgyvendinant priemonę planuojama viešame aukcione parduoti savivaldybės nekilnojamąjį turtą ir kitus nekilnojamuosius daiktus bei užtikrinti sistemos administravimo mokestį.</t>
  </si>
  <si>
    <t>Mero rezervo lėšos gali būti naudojamos ekstremaliosioms situacijoms  ir (arba) ekstremaliesiems įvykiams likviduoti, jų padariniams šalinti ir padarytiems nuostoliams iš dalies apmokėti, gaisrų, stichinių nelaimių ir kitų įvykių padariniams likviduoti ir jų padarytiems nuostoliams iš dalies apmokėti, dėl nepaprastosios padėties atsiradusioms išlaidoms iš dalies apmokėti ir (arba) jos padariniams šalinti.</t>
  </si>
  <si>
    <t>Projekto  „Smart city - Visaginas " įgyvendinimas</t>
  </si>
  <si>
    <t>Įgyvendinant šią priemonę bus tinkamai organizuotas savivaldybės duomenų atvėrimas visuomenei, teisingai nustatyti duomenų atvėrimo uždaviniai ir prioritetai bei efektyviausi būdai juos atverti</t>
  </si>
  <si>
    <t xml:space="preserve">Kasmet didėjantis ne mažiau kaip 20 proc. </t>
  </si>
  <si>
    <t>Stacionaro ligonių skaičius, tenkantis 1 tūkst. gyventojų</t>
  </si>
  <si>
    <t>Gyventojų, pasitikinčių savivaldybės institucija ir jos įstaigomis, dalis proc.</t>
  </si>
  <si>
    <t>„Facebook“10 000 tūkst. (2030</t>
  </si>
  <si>
    <t>„YouTube“ 469 (2020)</t>
  </si>
  <si>
    <t>„YouTube“ 1,2 tūkst. (2030)</t>
  </si>
  <si>
    <t>Mažėjantis iki 100 t (2030)</t>
  </si>
  <si>
    <t xml:space="preserve">Autoįvykių skaičius per metus </t>
  </si>
  <si>
    <t>Ne mažiau kaip 55 proc. susidariusių
komunalinių atliekų
 (pagal
svorį) paruošta 
pakartotinai naudoti ir perdirbta</t>
  </si>
  <si>
    <t>Ne mažiau kaip 56 proc. susidariusių komunalinių atliekų (pagal
svorį) paruošta pakartotinai naudoti ir perdirbta</t>
  </si>
  <si>
    <t>Ne mažiau kaip 57 proc. susidariusių komunalinių atliekų (pagal
svorį) paruošta pakartotinai naudoti ir perdirbta</t>
  </si>
  <si>
    <t xml:space="preserve">  </t>
  </si>
  <si>
    <t xml:space="preserve">Projekto „Visagino savivaldybės priemonių, numatytų  „Tūkstantmečio mokyklų" Visagino ir Ignalinos rajono savivaldybių Švietimo pažangos plane" įgyvendinimas </t>
  </si>
  <si>
    <t>SB (ĮPL)</t>
  </si>
  <si>
    <t>ĮP (L)</t>
  </si>
  <si>
    <t>01.01.02.08. (TP)</t>
  </si>
  <si>
    <t>Sudaryti sąlygas iš anksto negalimoms suplanuoti priemonėms vykdyti bei savivaldybės finansiniams įsipareigojimams įgyvendinti</t>
  </si>
  <si>
    <t xml:space="preserve">Neformaliojo vaikų švietimo galimybėmis pasinaudojusių mokinių, skaičius </t>
  </si>
  <si>
    <t xml:space="preserve">Ši priemonė įgyvendinama vadovaujantis Neformaliojo vaikų švietimo programų finansavimo ir administravimo tvarkos aprašu, patvirtintu Lietuvos Respublikos švietimo, mokslo ir sporto ministro 2022 m. sausio 10 d. įsakymu Nr. V-46 „Dėl Neformaliojo vaikų švietimo programų finansavimo ir administravimo tvarkos aprašo patvirtinimo“. Neformaliojo vaikų švietimo lėšos savivaldybei skiriamos Lietuvos Respublikos švietimo, mokslo ir sporto ministro įsakymu einamiesiems kalendoriniams metams. Šios lėšos savivaldybei apskaičiuojamos visas neformaliojo vaikų švietimo lėšas padalinus iš Lietuvos mokinių, kurie praėjusių kalendorinių metų rugsėjo 1 d. mokėsi pagal bendrojo ugdymo programas, skaičiaus ir padauginus iš savivaldybėje praėjusių kalendorinių metų rugsėjo 1 d. besimokiusių mokinių skaičiaus. Neformaliojo vaikų švietimo lėšas savivaldybė naudoja neformaliojo vaikų švietimo programoms finansuoti ir aukščiau minėto aprašo įgyvendinimui administruoti, neviršijant 3 proc. savivaldybei skirtos lėšų sumos. Taip pat šia priemone bus užtikrintas viešosios įstaigos Visagino edukacijų centro viešųjų paslaugų teikimas ir biudžetinės įstaigos Visagino kūrybos ir menų akademijos ugdymo veiklos užtikrinimas. </t>
  </si>
  <si>
    <t>~2700</t>
  </si>
  <si>
    <t>Įsigytų maisto/virtuvės konteinerių   skaičius</t>
  </si>
  <si>
    <t>Asmenų su negalia reikalų koordinavimo funkcijai atlikti</t>
  </si>
  <si>
    <t>R-01-01-02-09</t>
  </si>
  <si>
    <t>Panaudota dotacijos dalis, nuo visų asmenų su negalia reikalų koordinavimo funkcijos atlikimui numatytų lėšų procentais</t>
  </si>
  <si>
    <t>Atliktų įmonių ir įstaigų, interneto svetainių, spaudos leidinių ir reklamos objektų patikrinimų skaičius, vienetai</t>
  </si>
  <si>
    <t>Parengtų ir savivaldybės interneto svetainėje paskelbtų atmintinių ir rekomendacijų skaičius, vienetai</t>
  </si>
  <si>
    <t>Savivaldybės administracinių paslaugų, teikiamų elektroniniu būdu ne žemesniu kaip 4 brandos lygiu, dalis nuo visų savivaldybės teikiamų administracinių paslaugų, proc.</t>
  </si>
  <si>
    <t>Jaunimo politikos formavimo, skatinimo ir  įgyvendinimo temomis atliktų analizių skaičius, vnt.</t>
  </si>
  <si>
    <t>Dalyvaujama tarptautiniuose ir nacionaliniuose renginiuose su jaunimu ir / ar jaunimo organizacijomis</t>
  </si>
  <si>
    <t>Savivaldybės administracinių paslaugų, 
teikiamų elektroniniu būdu ne žemesniu kaip 4 brandos lygiu, dalis nuo visų savivaldybės teikiamų administracinių paslaugų, proc.</t>
  </si>
  <si>
    <t>Gyventojų, per paskutinius 12 mėnesių dalyvavusių sprendžiant viešuosius vietos reikalus dalis, proc.</t>
  </si>
  <si>
    <t xml:space="preserve"> Miestų partnerių skaičius , vnt.</t>
  </si>
  <si>
    <t>Neformaliojo vaikų švietimo galimybėmis pasinaudojusių mokinių dalis (išskyrus ikimokykliniame ir priešmokykliniame ugdyme dalyvaujančius vaikus), proc.</t>
  </si>
  <si>
    <t>Įstaigų, dalyvavusių projektinėje veikloje skaičius</t>
  </si>
  <si>
    <t>02.01.03.02. (PP)</t>
  </si>
  <si>
    <t>02.01.03. (P)</t>
  </si>
  <si>
    <t>Įgyvendintų priemonių/ projektų skaičius, vnt.</t>
  </si>
  <si>
    <t>04.02.03. (T)</t>
  </si>
  <si>
    <t>Buvusios mokyklos pastato Draugystės g. 10 ir aplinkinės teritorijos konversija pritaikant ją daugiafunkcinės sporto arenos  sukūrimui</t>
  </si>
  <si>
    <t>04.02.02. (T)</t>
  </si>
  <si>
    <t>R-05-01-01-06</t>
  </si>
  <si>
    <t>05.04.01.02. (TP)</t>
  </si>
  <si>
    <t>E-05-05-01</t>
  </si>
  <si>
    <t>R-05-05-01-01</t>
  </si>
  <si>
    <t>E-06-01-02</t>
  </si>
  <si>
    <t>E-06-01-03</t>
  </si>
  <si>
    <t>Turizmo / žygių maršruto sukūrimas "Atominis Visaginas: atrask, pamatyk, išgirsk" įtraukiant į jį vietovei būdingus išteklius ir integruojant į VIZA bendrus turizmo maršrutus</t>
  </si>
  <si>
    <t>Kosmoso gatvės rekonstravimas</t>
  </si>
  <si>
    <t xml:space="preserve">Įgyvendinant priemonę planuojama parengti investicinius projektus Parko g. 14, Vilties g. 1, Kosmoso g. 28 A  pastatų modernizavimui. </t>
  </si>
  <si>
    <t xml:space="preserve">Kūrybos ir menų akademija </t>
  </si>
  <si>
    <t>Projekto  „Priklausomybės ligų profilaktikos, diagnostikos ir gydymo kokybės ir prieinamumo gerinimas Visagino savivaldybėje" įgyvendinimas</t>
  </si>
  <si>
    <t>AA (L)</t>
  </si>
  <si>
    <t xml:space="preserve">AA </t>
  </si>
  <si>
    <t>Vadovaujantis 2024 m. balandžio 24 d. Jungtinės veiklos sutartimi Nr. 5-192 nevyriausybinės organizacijos Labdaros ir paramos fondas ,,Maisto bankas“ ir Visagino savivaldybės administracijos, Visagino savivaldybės administracija priima savivaldybės gyventojų prašymus socialinėms kortelėms ir/arba donacijoms gauti, užtikrina iš Projekto dalyvių gautų fizinių asmenų duomenų pateikimą Projekto vykdytojui, užtikrina, kad socialines korteles gautų tik Projekto dalyviai, pagrindžia kiekvieno Projekto dalyvio priklausymą paramą gaunančių asmenų grupei. Pagal Sutartį Visagino savivaldybei už faktiškai įvykdytas veiklas kompensuojama iki 3,5 proc. lėšų nuo faktiškai projekto dalyvių kortelėse panaudotų lėšų už projekto dalyvių prašymų Materialinio nepritekliaus paramai gauti ir sutikimo formų maisto donacijai gauti priėmimą, vertinimą, Projektų dalyvių paraiškų informacijos suvedimą į SPIS, projekto dalyvių sąrašų formavimą.</t>
  </si>
  <si>
    <t>Paramą gavusių asmenų skaičius</t>
  </si>
  <si>
    <t>2350</t>
  </si>
  <si>
    <t>02.01.03.06. (PP)</t>
  </si>
  <si>
    <t>Dalyvavimas projekto „Ugdymo priemonės mokykloms“ įgyvendinime“</t>
  </si>
  <si>
    <t>R-02-01-03-06</t>
  </si>
  <si>
    <t>Naudotojų skaičius/
Mokyklų skaičius</t>
  </si>
  <si>
    <t>1931/
5</t>
  </si>
  <si>
    <t>1732
/5</t>
  </si>
  <si>
    <t>2.1.-5-4</t>
  </si>
  <si>
    <t>1924/
5</t>
  </si>
  <si>
    <t>Įstaigų, dalyvavusių projektinėje veikloje partnerių teisėmis, skaičius</t>
  </si>
  <si>
    <t>02.01.03.07. (PP)</t>
  </si>
  <si>
    <t>Dalyvavimas projekto „Ankstyvojo ugdymo užtikrinimas vaikams iš socialinę riziką patiriančių šeimų“ įgyvendinime“</t>
  </si>
  <si>
    <t>R-02-01-03-07</t>
  </si>
  <si>
    <t>Vaikų, augančių šeimose patiriančiose socialinę riziką, lankančių ikimokyklinio ugdymo įstaigas, skaičius</t>
  </si>
  <si>
    <t>56</t>
  </si>
  <si>
    <t>SRF
(Kt)</t>
  </si>
  <si>
    <t>Projekto "Sveikatos priežiūros specialistų rengimas/pritraukimas dirbti  Visagino savivaldybės sveikatos įstaigose" įgyvendinimas</t>
  </si>
  <si>
    <t>R-07-01-02-02</t>
  </si>
  <si>
    <t>Veikianti daugiaprofilinė, moderni antrinio lygio asmens sveikatos priežiūros įstaiga
Veikianti moderni pirminio lygio asmens sveikatos priežiūros įstaiga, teikianti bazines sveikatos priežiūros paslaugas</t>
  </si>
  <si>
    <t>Projekto "Visagino savivaldybės sveikatos centro veiklos modelio diegimas" įgyvendinimas</t>
  </si>
  <si>
    <t>R-07-01-02-07</t>
  </si>
  <si>
    <t>Specialistai, dalyvavę kvalifikacijos tobulinimo ar perkvalifikavimo veiklose, asmenys</t>
  </si>
  <si>
    <t xml:space="preserve">Projekto "Savivaldybių projektų miestų miškų žemės sklypų priežiūros,
 apsaugos, tvarkymo darbų vykdymo ir reikalingų planavimo dokumentų parengimas" įgyvendinimas </t>
  </si>
  <si>
    <t xml:space="preserve">Projekto "Miestų miškų sklypų suprojektavimas, suformavimas ir užregistravimas nekilnojamojo turto registre" įgyvendinimas </t>
  </si>
  <si>
    <t>23</t>
  </si>
  <si>
    <t>28</t>
  </si>
  <si>
    <t>Švietimo paslaugų plėtros programa (02)</t>
  </si>
  <si>
    <t>Įgyvendinant šią priemonę vykdoma:
vandens telkinių paplūdimių valymas ir priežiūra;
kapinių tvarkymas ir priežiūra;
želdinių priežiūra, tvarkymas, atnaujinimas;
miesto žaliųjų zonų, gėlynų, parkų, skverų priežiūra, tvarkymas, atnaujinimas; 
miško parko zonos valymas;
sanitarijos darbų vykdymas;
suoliukų tarp daugiabučių namų, skveruose, gatvėse remontas;
mažųjų architektūrinių formų priežiūra;
miesto gatvių ir vietinių kelių valymas ir priežiūra.
Taip pat numatoma šalinti pavojų keliančius ir sergančius medžius, įsigyti ir veisti naujus želdinius, šalinti kelmus, taip pat užtikrinti rekonstruotos Sedulinos al. dalies žaliųjų plotų priežiūrą.</t>
  </si>
  <si>
    <t>2024-07-17 Visagino savivaldybės administracija kartu su Europos socialinio fondo agentūra pasirašė jungtinės veiklos sutartį dėl  2021–2030 m. plėtros programos valdytojos Lietuvos Respublikos švietimo, mokslo ir sporto ministerijos švietimo plėtros programos pažangos priemonės Nr. 12-003-03-01-04 „Užtikrinti visiems prieinamą ankstyvąjį ugdymą“  projekto „Ankstyvojo ugdymo užtikrinimas vaikams iš socialinę riziką patiriančių šeimų“ įgyvendinimo. Sutartimi Šalys, susitarė apjungti savo pastangas, darbą ir žinias, siekiant veikti bendrai, turėdamos tikslą įgyvendinti priemones, kad į ikimokyklinį ugdymą būtų sėkmingai įtraukti vaikai iš socialinę riziką patiriančių šeimų. Maksimali projekto įgyvendinimo vertė tenkanti Visagino savivaldybei - 898264,11 Eur, iš jų finansuojamąją  dalį  sudaro 100 proc. dotacija. Projekto veiklos turi būti įgyvendintos per 36 mėnesius nuo projekto sutarties įsigaliojimo. Prireikus projekto veiklos gali būti pratęstos pagrįstam laikotarpiui, bet ne vėliau kaip iki 2029 m. gruodžio 31 d.
Įgyvendindama projektą Visagino savivaldybės administracija užtikrina tinkamą informacijos, dokumentų parengimą bei pateikimą Projekto vykdytojui pagal Projekto vykdytojo pateikto Partnerio privalomų pateikti dokumentų sąrašą ir jų pateikimo periodiškumą ar konkrečius terminus, teisingą ir teisėtą lėšų paskirstymą ir panaudojimą. Projekto metu vaikai, augantys šeimose patiriančiose socialinę riziką, bus įtraukiami į ikimokyklinį ir priešmokyklinį ugdymą (kas dar neugdomas pagal ikimokyklinio ar priešmokyklinio ugdymo programas) bei jiems teikiama pagalba ugdymo procese – ugdymo lėšų panaudojimas vaiko reikmėms (švietimo pagalbai teikti ir įsigyti individualių ugdymo priemonių reikalingų ugdymo programai įgyvendinti, vežimo į / iš švietimo įstaigos paslaugos užtikrinimas, kultūros ir neformaliojo švietimo paslaugų teikimas, savivaldybių reglamentuoto vaikų išlaikymo mokesčio ir mokesčio už vaikų maitinimą apmokėjimas).</t>
  </si>
  <si>
    <t>2027 metai</t>
  </si>
  <si>
    <t>2027 m.asignavimai ir kitos lėšos, tūkst. Eur</t>
  </si>
  <si>
    <t xml:space="preserve">Programos įgyvendinimo laikotarpis 2025-2027 m. </t>
  </si>
  <si>
    <t xml:space="preserve">Pokytis proc. </t>
  </si>
  <si>
    <t>2025 m. asignavimų ir kitų lėšų poreikis , tūkst. Eur</t>
  </si>
  <si>
    <r>
      <t xml:space="preserve">PATVIRTINTA
Visagino savivaldybės tarybos                                        2025 m. vasario ___  d. sprendimu Nr. TS-_____
</t>
    </r>
    <r>
      <rPr>
        <sz val="9"/>
        <color rgb="FFFF0000"/>
        <rFont val="Arial"/>
        <family val="2"/>
      </rPr>
      <t xml:space="preserve">
PROJEKTAS</t>
    </r>
  </si>
  <si>
    <t>Integruoti teritorinio vystymo projektai, projektai</t>
  </si>
  <si>
    <t>Dalyvių ir paslaugų gavėjų skaičius fiksuojamas konsultacijų bei renginių dalyvių sąrašuose</t>
  </si>
  <si>
    <t>130</t>
  </si>
  <si>
    <t xml:space="preserve">Konsultacijų skaičius
Naujų narių skaičius
Informacinių seminarų ciklų skaičius
Akseleravimo programos įgyvendinimas
Atvirų durų renginių skaičius 
Mentorystės programos įgyvendinimas </t>
  </si>
  <si>
    <t>120
10
3
1
4
5</t>
  </si>
  <si>
    <t xml:space="preserve">Bendradarbystės centras „Spiečius“ – tai VšĮ „Inovacijų agentūra“ sukurta netradicinio tipo verslo vystymosi erdvė, pritaikyta smulkiojo ir vidutinio verslo subjektams, vykdantiems veiklą ne ilgiau kaip 5 metus, bendradarbiauti tarpusavyje ir plėstis. „Spiečiai“ orientuoti į skaitmeninio ir kūrybinių industrijų verslų atstovus. Šiuose centruose verslininkams yra suteikiamos nemokamos kompiuterizuotos darbo vietos su įranga, teikiamos skaitmeninio, kūrybinių industrijų vystymo, socialinio verslo konsultacijos, vykdomos praktinės mentorių sesijos, organizuojami verslo ugdymo mokymai ir įgyvendinamos kitos verslo skatinimo ir plėtros iniciatyvos. Verslo plėtros konsultacijas bendradarbystės centruose įsikūrusioms įmonėms teikia į Verslo konsultantų tinklą atrinktos įmonės ir įstaigos. Pagal Visagino savivaldybės prisiimtus įpareigojimus bendradarbystės centras „Spiečius“ Visagine veiks nuo 2021 m. sausio mėn. iki 2026 m. gruodžio mėn. Bendradarbystės erdvės „Spiečius“ veiklos organizavimas pavestas VšĮ „Visagino ekonomikos plėtros agentūra. 
</t>
  </si>
  <si>
    <t>Programos įgyvendinimo laikotarpis – nuo 2025 m. vasario mėn. iki 2025 m. gruodžio mėn. Programos tikslai: padėti norintiems integruotis į darbo rinką ieškantiems darbo asmenims įsidarbinti ir uždirbti pragyvenimui būtinas lėšas; mažinti socialinę įtampą ir atskirtį tarp bendruomenės narių; atnaujinti ieškančių darbo asmenų darbinius įgūdžius; padidinti ieškančių darbo asmenų galimybes susirasti nuolatinį darbą; didinti Visagino savivaldybės gyventojų užimtumą.</t>
  </si>
  <si>
    <t>(pasikeitė priemonės pavadinimas )</t>
  </si>
  <si>
    <t>Teritorijų suformuotų ir pritaikytų verslo plėtrai, ha</t>
  </si>
  <si>
    <t>pasiekitė pavadinimas</t>
  </si>
  <si>
    <t xml:space="preserve">nauja </t>
  </si>
  <si>
    <t>09.02.03. (T)</t>
  </si>
  <si>
    <t>1.1.-2</t>
  </si>
  <si>
    <t>E-09-02-03</t>
  </si>
  <si>
    <t>Gyventojų aktyvumas,
 vykdant individualią veiklą (gyventojų, besiverčiančių veikla pagal individualios veiklos pažymą ir verslo liudijimus, skaičius, tenkantis 1000-iui gyv., koef.)</t>
  </si>
  <si>
    <t>09.02.03.01. (TP)</t>
  </si>
  <si>
    <t>R-09-02-03-01</t>
  </si>
  <si>
    <t>Tyrimo ataskaita</t>
  </si>
  <si>
    <t>09.02.03.02. (TP)</t>
  </si>
  <si>
    <t>Įgyvendinant šią priemonę planuojama sukurti ir įgyvendinti inovacinės veiklos ir kūrybinės veiklos skatinimo sistemą, skatinti kompetencijų plėtrą skaičiavimo, dirbtinio intelekto, kibernetinio saugumo taikymo srityse. Vystyti darbo vietų suteikimo paslaugas (kūrybinių industrijų sektoriuje (inovacijų klasterio veiklos užtikrinimas).</t>
  </si>
  <si>
    <t>R-09-02-03-02</t>
  </si>
  <si>
    <t>Inovacijų srityje įgyvendintų projektų skaičius</t>
  </si>
  <si>
    <t>09.02.03.03. (TP)</t>
  </si>
  <si>
    <t>Įgyvendinant šią priemonę planuojama skatinti SVV subjektų skaitmenizavimo procesus. Kuriant skaitmeninio miestą dvynio platformą įtraukti verslo subjektus, turimą infrastruktūrą į bendrą savivaldybės rinkodarą. Skatinti įmones/įstaigas pereiti prie neutralios klimatui ekonomikos, planuojama parengti ir vykdyti energetinio efektyvumo didinimo programą, skatinti  atsinaujinančių energijos išteklių diegimą SVV, skatinti investicijas į elektromobilių įkrovimo aikšteles.</t>
  </si>
  <si>
    <t>R-09-02-03-03</t>
  </si>
  <si>
    <t xml:space="preserve">Skaitmenizavimo srityje įgyvendintų projektų skaičius  </t>
  </si>
  <si>
    <t>09.02.03.05. (TP)</t>
  </si>
  <si>
    <t xml:space="preserve">Projektų veiklų įgyvendinimas baigtas 2023 m. </t>
  </si>
  <si>
    <t>R-09-02-03-05</t>
  </si>
  <si>
    <t>Parengta investicinės programos įgyvendinimo ataskaita</t>
  </si>
  <si>
    <t>09.02.03.06. (TP)</t>
  </si>
  <si>
    <t>R-09-02-03-06</t>
  </si>
  <si>
    <t>Įrengtas elektros energijos gamybos iš atsinaujinančios energijos objektas , MW</t>
  </si>
  <si>
    <t>Strateginėse verslo kryptyse veikiančių verslo subjektų skaičius, vnt.</t>
  </si>
  <si>
    <t>09.03.01. (PP,TP)</t>
  </si>
  <si>
    <t>E-09-03-01</t>
  </si>
  <si>
    <t>Turistų, apsilankiusių VTPC, 
dalis sezono metu (gegužės–rugpjūčio mėn.), palyginti su bendruoju metiniu turistų skaičiumi (proc.)</t>
  </si>
  <si>
    <t>09.03.01.01. (PP)</t>
  </si>
  <si>
    <t>1.2.-3-1</t>
  </si>
  <si>
    <t>Visagino savivaldybės valdomų patalpų Balto g.1, Ramybės k., Visagino sav. transformavimas ir pritaikymas energetikos temos aktualizavimui ir pritaikymui edukacijai bei turizmui. 
Projektinis pasiūlymas pateiktas  European urban initiative programai. Jei būtų atrinkta idėja, būtų rengiamas projektas įgyvendinimui (2025-2028 m.)</t>
  </si>
  <si>
    <t>R-09-03-01-01</t>
  </si>
  <si>
    <t>Lankymui pritaikytų turizmo objektų skaičius</t>
  </si>
  <si>
    <t>Įkurtas modernus lankytojų centras</t>
  </si>
  <si>
    <t>09.03.01.01.(PP)-01</t>
  </si>
  <si>
    <t>P-09-03-01-01-01</t>
  </si>
  <si>
    <t>P-1.2.3.1-1</t>
  </si>
  <si>
    <t>09.03.01.01.(PP)-02</t>
  </si>
  <si>
    <t>Ignalinos AE valdymo pulto simuliatoriaus erdvių pritaikymas lankymui</t>
  </si>
  <si>
    <t>P-09-03-01-01-02</t>
  </si>
  <si>
    <t>Pritaikytų turizmo objektų lankymui skaičius</t>
  </si>
  <si>
    <t>09.03.01.02. (TP)</t>
  </si>
  <si>
    <t>R-09-03-01-02</t>
  </si>
  <si>
    <t>Įgyvendintas projektas</t>
  </si>
  <si>
    <t>Įgyvendintų projektų  skaičius, vnt.</t>
  </si>
  <si>
    <t>09.03.01.03. (PP)</t>
  </si>
  <si>
    <t>1.2.-2-1</t>
  </si>
  <si>
    <t>R-09-03-01-03</t>
  </si>
  <si>
    <t>Sukurtų turizmo maršrutų skaičius</t>
  </si>
  <si>
    <t>P-1.2.2.1-1</t>
  </si>
  <si>
    <t>09.03.01.04. (PP)</t>
  </si>
  <si>
    <t>Privažiavimo (priėjimo) prie paplūdimio infrastruktūros sutvarkymas prie  Visagino ežero;  Amfiteatrų Visagine pritaikymas įveiklinimui ir turizmo srautų pritraukimui;  Viešųjų sanitarinių mazgų (wc) prie lankomų objektų įrengimas Visagino mieste;  Audiogidų sistemos sukūrimas Visagino mieste (įveiklinant miesto erdvėse remiantis virtualiu maršrutu atominisvisaginas.lt);  - Apleistos teritorijos (aplink Vilties g.3) kompleksinis sutvarkymas ir pritaikymas turizmo (lankytojų) srautų poreikiams (įrengiant priėjimus/privažiavimą /parkavimo vietas prie Kultūros centro ir daugiafunkcinių centrų, parkingą, įrengiant universualaus dizaino priemones).</t>
  </si>
  <si>
    <t>R-09-03-01-04</t>
  </si>
  <si>
    <t>Sutvarkyta/pritaikyta teritorijų, kv.m</t>
  </si>
  <si>
    <t>09.03.01.04.(PP)-01</t>
  </si>
  <si>
    <t>18500</t>
  </si>
  <si>
    <t xml:space="preserve">Sutvarkyti amfiteatrai, vnt. </t>
  </si>
  <si>
    <t>Įrengta viešųjų WC mieste</t>
  </si>
  <si>
    <t>09.03.01.05. (TP)</t>
  </si>
  <si>
    <t>1.2.-3-2</t>
  </si>
  <si>
    <t xml:space="preserve">Lyginant su Lietuvos vidurkiu Visaginas išsiskiria didele ne lietuvių tautybės gyventojų dalimi. Visagine aktyvūs ir kitų tautybių gyventojai, pavyzdžiui, baltarusiai, lenkai, ukrainiečiai ir kt., dėka kurių Visaginas gali vadintis daugiataučiu miestu. Tautinės mažumos dažnai dalyvauja miesto renginiuose, rengia savo tautines šventes, organizuoja tarptautinį tautinių mažumų festivalį „Rudeninės“. Nors tautinės bendruomenės turi sukurtas edukacijų programas, jas niekur nereklamuoja bei turistams nerengia. Tikimąsi , kad priemonės įgyvendinimas paskatins ekonominę veiklą. </t>
  </si>
  <si>
    <t>R-09-03-01-05</t>
  </si>
  <si>
    <t>Edukacinių programų skaičius</t>
  </si>
  <si>
    <t>Verslo subjektų, teikiančių paslaugas daugiataučio kultūros paveldo srityje, skaičius</t>
  </si>
  <si>
    <t>09.03.01.06. (TP)</t>
  </si>
  <si>
    <t>R-09-03-01-06</t>
  </si>
  <si>
    <t>09.03.01.07. (TP)</t>
  </si>
  <si>
    <t xml:space="preserve">Įgyvendinant šią priemonę planuojama rengti architektūrinių  idėjų  konkursus ir techninę dokumentaciją miesto viešosioms erdvėms formuoti. 
Priemonės įgyvendinimas prisidės prie Strateginio plėtros plane suplanuoto veiksmo „Miesto architektūros viešinimas ir informacijos pritaikymas edukacinėms, pažintinėms veikloms ir moksliniam turizmui“ vykdymo. </t>
  </si>
  <si>
    <t>R-09-03-01-07</t>
  </si>
  <si>
    <t>Įrengtų miesto kraštovaizdžio formavimo ir įprasminimo priemonių skaičius</t>
  </si>
  <si>
    <t>1.2.-3-3</t>
  </si>
  <si>
    <t>Su atominės elektrinės paveldu glaudžiai susijusi ir miesto urbanistika, išsiskirianti savo apgalvotu planavimu ir prisitaikymo prie natūralaus kraštovaizdžio. Visagine organizuojamos architektūrinės stovyklos, vedamos ekskursijos, leidžiančios susipažinti su miesto architektūriniais akcentais, vykdomi kultūros bei švietimo projektai, tyrinėjantys ir atkreipiantys dėmesį į miesto urbanistiką. Visagino savivaldybė garsėja meno ir kūrybinių iniciatyvų pasiūla, per pastaruosius metus mieste vis daugėja šiuolaikinio meno ir kūrybos šakų, kaip, pavyzdžiui, muralų, „Naujojo cirko“, šviesos instaliacijų ir kitų, išraiškų. Šiuolaikinio meno ir kūrybos iniciatyvos, be abejo, pritraukia turistus, kuria šiuolaikinio, progresyvaus miesto įvaizdį. Tam, kad menas ir kūryba taptų turistų traukos taškais, svarbu skatinti nepriklausomų menininkų įsikūrimą ir veiklos plėtrą. Taip pat, kūrybinių veiklų organizavimas ir pristatymas viešosiose erdvėse turi būti aiškus ir lengvai prieinamas bet kurio lygio menininkams</t>
  </si>
  <si>
    <t>R-09-03-01-08</t>
  </si>
  <si>
    <t xml:space="preserve">Organizuotų renginių skaičius </t>
  </si>
  <si>
    <t>Parengtų edukacinių programų skaičius</t>
  </si>
  <si>
    <t>09.03.01.09. (PP)</t>
  </si>
  <si>
    <t>R-09-02-03-04</t>
  </si>
  <si>
    <t>Modernizuota infrastruktūra, m</t>
  </si>
  <si>
    <t>1300</t>
  </si>
  <si>
    <t>09.03.02. (T)</t>
  </si>
  <si>
    <t>E-09-03-02</t>
  </si>
  <si>
    <t>09.03.02.01. (TP)</t>
  </si>
  <si>
    <t>1.2.-1-1</t>
  </si>
  <si>
    <t>Siekiant užtikrinti esamos turizmo infrastruktūros tinkamą pristatymą bei informacijos gavimo prieinamumą ir nenutrūkstamą suteikimą, VšĮ Visagino turizmo plėtras centras nuolat teiks turizmo informacijos paslaugas, reprezentuojančias Visagino savivaldybę, viešins Visagino savivaldybės lankytinas vietas, turizmo paslaugas. Siekiant kuo išsamiau pristatyti Visagino savivaldybės turizmo potencialą, planuojama dalyvauti turizmo parodose bei renginiuose, konsultuoti turizmo verslu užsiimančius fizinius ir juridinius asmenis, rengti ir dalyvauti rengiant turizmo informacinius leidinius, skleisti informaciją apie vykstančius turizmo, kultūros ir kitus visuomeninius renginius, įgyvendinti turizmo infrastruktūros projektus, bendradarbiaujant su kaimyninėmis savivaldybėmis išanalizuoti galimybes parengti ir įgyvendinti maršrutą, pritaikytą neįgaliesiems. 
Taip pat bus įgyvendinimas projektas „Europe direct Visagino savivaldybėje“.</t>
  </si>
  <si>
    <t>R-09-03-02-01</t>
  </si>
  <si>
    <t>Kreipusiųjų į VšĮ Visagino turizmo plėtros centrą dėl viešųjų paslaugų suteikimo asmenų skaičius</t>
  </si>
  <si>
    <t>09.03.02.01. (TP)-01</t>
  </si>
  <si>
    <t>09.03.02.01. (TP)-02</t>
  </si>
  <si>
    <t>09.03.02.01. (TP)-03</t>
  </si>
  <si>
    <t>Bendradarbiaujant su VšĮ „Euroregiono Ežerų kraštas direktorato biuras“ nuolat  ieškoma galimybių įgyvendinti naujus projektus, kurie prisidėtų prie Visagino miesto plėtros bei įvaizdžio kūrimo</t>
  </si>
  <si>
    <t>09.03.02.02. (TP)</t>
  </si>
  <si>
    <t>191747963</t>
  </si>
  <si>
    <t xml:space="preserve">Įsteigus Visagino rekreacijos paslaugų centro filialą „Visagino parkas“ (toliau tekste – Parkas) (Visagino savivaldybės tarybos 2015 m. gruodžio 28 d. sprendimas Nr. TS-247) teikiamos turizmo, rekreacijos ir poilsio viešosios paslaugos, taip pat ieškomas investuotojas bei rengiama dokumentacija, siekiant išnuomoti Parko dalį (išskyrus patalpas, kuriose planuojama įgyvendinti projektą „Atominės energetikos aktualizavimas ir pritaikymas edukacijai bei turizmui“) privačiam subjektui. </t>
  </si>
  <si>
    <t>R-09-03-02-02</t>
  </si>
  <si>
    <t>Organizuotų nuomos konkursų skaičius</t>
  </si>
  <si>
    <t>09.03.02.03. (TP)</t>
  </si>
  <si>
    <t>R-09-03-02-03</t>
  </si>
  <si>
    <t>09.03.02.07. (TP)</t>
  </si>
  <si>
    <t>Įgyvendinant šią priemonę bus užtikrinta savivaldybės lankomų objektų priežiūra ir remontas.</t>
  </si>
  <si>
    <t>R-09-03-02-07</t>
  </si>
  <si>
    <t xml:space="preserve">Prižiūrėta ir suremontuota savivaldybės lankomų turistinių objektų </t>
  </si>
  <si>
    <t>09.04.01. (P)</t>
  </si>
  <si>
    <t>1.1-1</t>
  </si>
  <si>
    <t>E-09-04-01</t>
  </si>
  <si>
    <t>Visagino, Ignalinos ir Zarasų rajonų savivaldybių teritorijų funkcinės zonos strategijoje numatytų įgyvendinti projektų dalis procentais, nuo visų planuojamų įgyvendinti</t>
  </si>
  <si>
    <t>09.04.01.01. (PP)</t>
  </si>
  <si>
    <t>1.1.1-1</t>
  </si>
  <si>
    <t>R-09-04-01-01</t>
  </si>
  <si>
    <t xml:space="preserve">Projekto „Bendradarbystės centro VIZA-CITY sukūrimas Visagine: socialinio verslumo ir kūrybinių industrijų centras su bendradarbystės erdvėmis“ įgyvendinimas
</t>
  </si>
  <si>
    <t xml:space="preserve">Projekto "Visagino savivaldybės teritorijos (-ų) pritaikymas pramonės, komercijos, paslaugų verslo  investicijoms" įgyvendinimas </t>
  </si>
  <si>
    <t xml:space="preserve">Projekto veiklų įgyvendinimas baigtas 2024 m. </t>
  </si>
  <si>
    <t>Projektas "Visagino gamtos objektų pritaikymas lankymui"</t>
  </si>
  <si>
    <t>R-Sukurtos arba atkurtos teritorijos, naudojamos
ekonominei, rekreacinei ar turizmo paskirčiai, ha</t>
  </si>
  <si>
    <t>P-Integruoti teritorinio vystymo projektai, projektai</t>
  </si>
  <si>
    <t>P-Sukurtos arba atkurtos atviros erdvės, kv.m</t>
  </si>
  <si>
    <t>Projektas "Visagino kultūros objektų pritaikymas lankymui, įrengiant būtiną viešąją infrastruktūrą"</t>
  </si>
  <si>
    <t>2024-09-30 Trūkstamų specialistų pritraukimo į Visagino savivaldybės įstaigas komisijos posėdžio protokolas Nr. 9-1368</t>
  </si>
  <si>
    <t>Visagino alumni klubo veiklų organizavimas
( VšĮ VEPA)</t>
  </si>
  <si>
    <t>Planuojama suma: 
4 pareigybės -  išmoka po 5 tūkst. Eur per metus kiekvienai pareigybei (mokama du metus).</t>
  </si>
  <si>
    <t>Miesto rinkodaros plano įgyvendinimas</t>
  </si>
  <si>
    <t xml:space="preserve">Paslaugos įsigijimas. Atlyginimas programuotojams (pagal ind. veiklos pažymą), vienos dalies pajungimui per atskirus kontrolerius (iš viso 4 dalys). </t>
  </si>
  <si>
    <t>Mini-kompiuterių įsigijimas (po 10 vnt. vienai daliai), laidų, plokščių ir kitų būtinų medžiagų pirkimas.</t>
  </si>
  <si>
    <t>IAE valdymo skydo simuliatoriaus naudojimo dokumentacijos parengimas.</t>
  </si>
  <si>
    <t>Multimedijos įrangos pirkimas: projekcijos, ekranai, garso sistemos.</t>
  </si>
  <si>
    <t>Esamų paslaugų, aktualizuojančių branduolinį paveldą rinkos analizė, gerosios patirties pasisėmimas.</t>
  </si>
  <si>
    <t>Turizmo produkto sukūrimas (parinkta tikslinė auditorija, paruoštas pasiūlymas, aprašyta paslauga ir jos suteikimo tvarka, sudaryta kainodara, parengta pajamų/išlaidų prognozė).</t>
  </si>
  <si>
    <t>Kvalifikuotų gidų paruošimas, kurie žino ne tik techninius Ignalinos atominės elektrinės aspektus, bet ir turizmo bei komunikacijos subtilybes.</t>
  </si>
  <si>
    <t>Edukacinės medžiagos paskaitoms ir seminarams paruošimas (įskaitant plakatų, brošiūrų kūrimą).</t>
  </si>
  <si>
    <t xml:space="preserve">Internetinės svetainės, reklamuojančios naują paslaugą, sukūrimas. </t>
  </si>
  <si>
    <t>Reklaminės komunikacijos kampanijos paleidimas.</t>
  </si>
  <si>
    <t>09.03.01.01.(PP)-03</t>
  </si>
  <si>
    <t xml:space="preserve">Simuliatoriaus pulto sutvarkymas </t>
  </si>
  <si>
    <t>Įgyvendintų funkcinės (-ių) zonos (-ų) strategijos neivesticinio veiksmo priemonių  skaičius</t>
  </si>
  <si>
    <t xml:space="preserve">
Programos tikslas – gerinti verslo aplinką ir skatinti juridinių bei fizinių asmenų verslumą Visagino savivaldybėje. Prioritetu remiamos veiklos, įveiklinančios savivaldybės infrastruktūrą, sukuriant produktą (-us) ar paslaugą (-as) ir darbo vietas vietos gyventojams.
</t>
  </si>
  <si>
    <t>Jungtinės veiklos koordinatiaus veiklos užtikrinimas (VEPA)</t>
  </si>
  <si>
    <t>2027 m. asignavimai ir kitos lėšos, tūkst. Eur</t>
  </si>
  <si>
    <t xml:space="preserve">Įgyvendinant Funkcinės zonos Visagino savivaldybės, Ignalinos ir Zarasų rajonų savivaldybių teritorijose (VIZA) 2024–2029 m. strategiją, patvirtinta Visagino savivaldybės tarybos 2024 m. birželio 20 d. sprendimu Nr. TS-105 „Dėl Funkcinės zonos Visagino savivaldybės, Ignalinos ir Zarasų rajonų savivaldybių teritorijose (VIZA) 2024–2029 m. strategijos patvirtinimo“ 2025 m. kartu su pasiruošimu įgyvendinti investicinius  veiksmus, vyks pasiruošimas ir neinvesticinių veiksmų įgyvendinimui.  </t>
  </si>
  <si>
    <t>Visagino ežero paplūdimio maudymosi įrenginio neįgaliesiems eksploatavimo ir priežiūros paslaugos</t>
  </si>
  <si>
    <t>2024</t>
  </si>
  <si>
    <t>2025</t>
  </si>
  <si>
    <t>Pontoninių tilto ir prieplaukos, vandens 
čiuožyklos konstrukcijų, esančių Visagino ežero paplūdimyje, remonto darbai 2024-05-31 rangos darbų sutartis Nr. 5-246</t>
  </si>
  <si>
    <t>Įgyvendinant savivaldybės urbanistinio ir teritorijų planavimo plėtrą ir tobulinimą, vykdant šią priemonę pagal poreikį bus rengiami teritorijų planavimo dokumentai, įgyvendinantys Visagino savivaldybės ir Visagino miesto bendrųjų planų sprendinius, atsižvelgiant į savivaldybės poreikį. Taip pat bus atliktas Visagino savivaldybės šilumos ir dujų ūkių (infrastruktūros plėtros) specialiojo plano keitimas. 
Priemonės įgyvendinimas prisidės prie Strateginio plėtros plano priemonės „Savivaldybės urbanistinio ir teritorijų planavimo plėtra ir tobulinimas“, kurioje planuojami veiksmai: Visagino savivaldybės ir Visagino miesto bendrųjų planų sprendinių stebėsenos ataskaitų parengimas; Visagino savivaldybės ir miesto bendrųjų planų keitimas; kitų, pagal poreikį parengtų,  reikalingų teritorijų planavimo dokumentų, žemės sklypų formavimo ir pertvarkymo projektų bei žemės sklypų planų parengimas; Visagino savivaldybės miškotvarkos planų parengimas.</t>
  </si>
  <si>
    <t>09.02.02.04. (TP)-1</t>
  </si>
  <si>
    <t>Daugiafunkcinės arenos įrengimo
Draugystės g. 10, Visagine,
architektūrinio konkurso organizavimas</t>
  </si>
  <si>
    <t xml:space="preserve">Architektūros ir teritorijų planavimo skyriaus  poreikis </t>
  </si>
  <si>
    <t>Miesto viešųjų erdvių mažosios
architektūros įrengimas ir tvarkymas</t>
  </si>
  <si>
    <t xml:space="preserve">2024 m. darbai nebuvo atlikti,
skirtos lėšos panaudotos stelos remontui, esančiam šalia krašto kelio į pramonės zoną. Poreikis pateiktas Aplinkos tvarkymo skyriaus. </t>
  </si>
  <si>
    <t xml:space="preserve">Didinant įstaigų veiklos efektyvumą, atsakomybę ir viešumą, 2025-2027m. planuojama gerinti valdymo struktūrą ir  stiprinti valdymo kokybę, didinti viešojo administravimo efektyvumą, ekonomiškai ir rezultatyviai valdyti ir naudoti savivaldybės turtą, biudžetą ir kitus piniginius išteklius. Numatoma vykdyti priemones ugdymo, kūno kultūros ir fizinio aktyvumo, socialinių paslaugų kokybei gerinti  ir jų įvairovei didinti. Siekti, kad gerėtų viešųjų erdvių kokybė, sudaryti sąlygas inžinerinės infrastruktūros ir susisiekimo komunikacijų gerinimui, jų plėtrai padidinant miesto viešųjų erdvių patrauklumą, užtikrinant  švarą ir tvarką, teikti gyventojams kokybiškas komunalines paslaugas, prižiūrėti ir modernizuoti miesto inžinerinės ir rekreacinės infrastruktūros objektus, suformuoti efektyviai veikiančią verslo paramos sistemą, skleisti verslo informaciją, skatinti verslumą bei iniciatyvas. Taip pat bus siekiama vykdyti architektūros ir teritorijų planavimo veiklą,  kurti palankią aplinką turizmui, plėsti turizmo, rekreacijos, poilsio ir paslaugų infrastruktūrą, užtikrinti turizmo informacijos sklaidą. </t>
  </si>
  <si>
    <t>Įgyvendinant Visagino savivaldybės 2025-2027 m. strateginį veiklos planą,  vadovaujamasi 2023-2030 m.  strateginiame plėtros plane numatytais prioritetais tikslais ir planuojamais pasiekti rezultatais:</t>
  </si>
  <si>
    <t xml:space="preserve"> Prizai, taurės, medaliai visiems sporto renginiams</t>
  </si>
  <si>
    <t xml:space="preserve"> Miesto dienos sporto renginiai</t>
  </si>
  <si>
    <t>Asmenų su negalia sporto renginiai</t>
  </si>
  <si>
    <t>Lietuvos seniūnijų žaidynės</t>
  </si>
  <si>
    <t>Europos ir pasaulio čempionatai</t>
  </si>
  <si>
    <t>Transporto paslaugos</t>
  </si>
  <si>
    <t>Tarptautiniai sporto renginiai</t>
  </si>
  <si>
    <t>Vyks Lietuvos mokyklų sporto žaidynės, kuriose dalyvaus Visagino 5 bendrojo ugdymo mokyklos.</t>
  </si>
  <si>
    <t>Futbolo, krepšinio, teniso, stalo teniso, graikų - romėnų imtynių, tinklinio ir kt. turnyrai, varžybos. Šiose visus metus trunkančio sporto varžybose dalyvaus Visagino ir įvairaus amžiaus svečių iš kitų savivaldybių sportininkai įvairaus amžiaus.</t>
  </si>
  <si>
    <t>Vyks sportiniai renginiai: šachmatų turnyras, šeimų šventė, tinklinio turnyras, krepšinio turnyras. Reikės prizų ir kitų apdovanojimų.</t>
  </si>
  <si>
    <t>3 ketv. tradiciškai vyksta žmonių su negalia sueitynės. Dalyvauja Visagino ir kitų savivaldybių asmenys su negalia. Dalyvių skaičius viršija 100 žm. Bus perkami įvairūs prizai, apdovanojimai. 4 ketv. vyks asmenų su negalia sporto turnyras.</t>
  </si>
  <si>
    <t>Vyks Lietuvos seniūnijų žaidynės. Geriausios komandos važiuos į finalines varžybas. Bus perkami prizai ir apdovanojimai.</t>
  </si>
  <si>
    <t>Geriausi Visagino sportininkai (įvairaus amžiaus), rinktinių nariai vyks į tarptautinius čempionatus.</t>
  </si>
  <si>
    <t xml:space="preserve">Visagino įvairaus amžiaus sportininkai dalyvauja regioniniuose, Lietuvos čempionatuose. </t>
  </si>
  <si>
    <t>Visagino ralis, Trenkt turas ir kt.</t>
  </si>
  <si>
    <t xml:space="preserve">Įstaigos </t>
  </si>
  <si>
    <t xml:space="preserve">Sporto strategijos įgyvendinimui </t>
  </si>
  <si>
    <t>Atgimimo gimnazija</t>
  </si>
  <si>
    <t>Žiburio pagrindinė mokykla</t>
  </si>
  <si>
    <t>SB nt</t>
  </si>
  <si>
    <t>Verdenės  gimnazija</t>
  </si>
  <si>
    <t xml:space="preserve">Auksinis raktelis </t>
  </si>
  <si>
    <t xml:space="preserve">Ąžuoliukas </t>
  </si>
  <si>
    <t>Gerosios vilties  progimnazija</t>
  </si>
  <si>
    <t>Dalyvavimas diagnostiniame ir standartizuotame testavime</t>
  </si>
  <si>
    <t>VSA</t>
  </si>
  <si>
    <t xml:space="preserve">Mokinių dalyvavimas regiono, šalies konkursuose, atrankose, kituose renginiuose pagal atskirai gautus raštus </t>
  </si>
  <si>
    <t>Miesto turo dalykinių olimpiadų ir konkursų nugalėtojų apdovanojimas, apmokėjimas užduočių rengėjams</t>
  </si>
  <si>
    <t>VŠPT</t>
  </si>
  <si>
    <t xml:space="preserve">Suaugusiųjų neformaliojo švietimo ir tęstinio mokymosi programų atrankos konkurso organizavimas ir finansavimas, įgyvendinimo priežiūra, dalyvavimas Nacionalinėje suaugusiųjų mokymosi savaitėje ir jos renginių organizavimas </t>
  </si>
  <si>
    <t>Svariausių laimėjimų pasiekusių savivaldybės mokinių pagerbimo renginio organizavimas, kitos veiklos, padedančios siekti numatyto uždavinio</t>
  </si>
  <si>
    <t>Mokyklų aprūpinimas edukacinėmis priemonėmis</t>
  </si>
  <si>
    <t>Edukacinės priemonės įsigijimas ikimokyklinio ugdymo įstaigoms apie 600 eurų, EditAI platformos įsigijimas bendrojo ugdymo mokykloms apie 15000 eurų</t>
  </si>
  <si>
    <t>Vardinių prizų įsigijimas, apmokėjimas už filmavimo paslaugas, scenos dekoracijas, gėles ir kt.</t>
  </si>
  <si>
    <t>Suaugusiųjų švietimo programų finansavimas, prisidėjimas prie Nacionalinės suaugusiųjų mokymosi savaitės renginių organizavimo</t>
  </si>
  <si>
    <t>Diplomų, rėmelių, prizų įsigijimas dėl kanceliarinių kainų padidėjimo</t>
  </si>
  <si>
    <t>Renginių kaštų padengimas, vykstančiųjų (pakviestų į šalies etapus) mokinių ir 
mokytojų kelionių išlaidų kompensavimas</t>
  </si>
  <si>
    <t>Dalyvavimo kaštų apmokėjimas dėl transporto kaštų padidėjimo</t>
  </si>
  <si>
    <t>Aprūpinimas testavimui reikalingomis priemonėmis</t>
  </si>
  <si>
    <t>Švietimo sistemos viešojo administravimo ir švietimo įstaigų priežiūros specialistų mokyklų konsultavimo 
kompetencijų tobulinimas</t>
  </si>
  <si>
    <t xml:space="preserve">Skyriaus specialistų dalyvavimas įvairiuose konferencijose, seminaruose ir kt., 
skirtuose ugdymo turinio atnaujinimui, ugdymą reglamentuojančių teisės aktų, projektų pristatymui; taip pat jų organizavimas </t>
  </si>
  <si>
    <t>Mokyklų veiklos kokybės, ugdymo pasiekimų vertinimo rezultatų tobulinimo ir ekspertų / konsultantų rekomendacijų įgyvendinimas, dalykinių, edukacinių priemonių švietimo darbuotojams vykdymas, valstybinės švietimo strategijos priemonių įgyvendinimo priemonės, vykimas į kitas savivaldybes</t>
  </si>
  <si>
    <t xml:space="preserve">Švietimo įstaigų komandų dalyvavimas įvairiose konferencijose,
 seminaruose ir kt., skirtuose ugdymo turinio atnaujinimui, ugdymą reglamentuojančių teisės aktų, projektų pristatymui, gerosios patirties sklaidai; taip pat jų organizavimas </t>
  </si>
  <si>
    <t>LR Konstitucijos egzamino I ir II etapų organizavimas, Nacionalinės bibliotekų savaitės organizavimas</t>
  </si>
  <si>
    <t>Organizacinių priemonių, paslaugų įsigijimas</t>
  </si>
  <si>
    <t>Švietimo įstaigų vadovų pasitarimų, metinės konferencijos organizavimas</t>
  </si>
  <si>
    <t>Apmokėjimas už vadybos ekspertų darbą ekspertizių metu</t>
  </si>
  <si>
    <t>Apmokėjimas už paslaugas mokyklų išorės vertinimo ekspertams</t>
  </si>
  <si>
    <t>Švietimo, mokslo ir sporto ministerijos, kitų švietimo veiklą reguliuojančių institucijų renginiai, veiklos, susijusios su Savivaldybės dalyvavimu nacionaliniuose projektuose, kitos veiklos, padedančios siekti numatyto uždavinio</t>
  </si>
  <si>
    <t>Organizavimui, vykimui, komandiravimui reikalingos priemonės, 
lėšos (veikloms, nenumatytoms projektams skirtame biudžete) (iš numatytų 2025 m. lėšų l.d. „Auksinis raktelis“, „Ąžuoliukas“, Draugystės progimnazijai, VKMA, Visagino krepšinio mokyklai, Visagino graikų ir romėnų imtynių centrui, VSRC, VKC VVB jubiliejui ne mažiau kaip 500 Eur)</t>
  </si>
  <si>
    <t>Parengiamieji ir egzaminų vykdymo, mokinių pasiekimų tikrinimo darbai (išsilavinimo pažymėjimų blankų pateikimas, išdavimas mokykloms ir apskaita, dalyvavimas mokymuose dėl mokinių pasiekimų vertinimo, NMPP, brandos egzaminų ir PUPP organizavimo ir vykdymo)</t>
  </si>
  <si>
    <t>Prekių ir paslaugų (transporto) įsigijimas</t>
  </si>
  <si>
    <t>Darbo užmokesčio brandos egzaminų vykdytojams ir vertintojams mokėjimas</t>
  </si>
  <si>
    <t>Darbo užmokestis ir soc. Draudimas</t>
  </si>
  <si>
    <t>10000</t>
  </si>
  <si>
    <t>Visagino savivaldybės aplinkos monitoringo programos priemonių  įgyvendinimas ir aplinkos monitoringo duomenų bazės tvarkymas bei priežiūra</t>
  </si>
  <si>
    <t>Visagino ežero dugno valymas</t>
  </si>
  <si>
    <t>Visagino ežero maudyklos vandens kokybės stebėseną ir paplūdimio smėlio tyrimai</t>
  </si>
  <si>
    <t>2024-07-10 paslaugos teikimo sutartis 
Nr. 5-326. Sutarties kaina 90000 Eur. Sutarties trukmė 36 mėn</t>
  </si>
  <si>
    <t>Vadovaujantis 2024-05-10 paslaugų viešo pirkimo-pardavimo sutartimi Nr. 5-219,  2024 m. už tyrimus buvo sumokėta 2850 Eur. Vadovaujantis Lietuvos Respublikos sveikatos apsaugos ministro 2007 m. gruodžio 21 d. įsakymu Nr. V-1055 „Dėl Lietuvos higienos normos HN 92:2018 „Paplūdimiai ir jų maudyklų vandens kokybė" patvirtinimo“ (pakeistas 2022-07-01) atliekami vandens skaidrumo ir Chlorofilo a tyrimai ir jeigu rodykliai neatitinka normų, tuomet turi būti atliekami papildomi tyrimai, kurie didina paslaugos kainą. Vadovaujantis buvusia sutartimi ir galimu maksimaliu tyrimų skaičiumi, tyrimai gali kainuoti iki 4000 Eur.</t>
  </si>
  <si>
    <t>Naujų želdinių įsigijimas 
ir veisimas</t>
  </si>
  <si>
    <t>Pavojų keliančių ir sergančių medžių šalinimas</t>
  </si>
  <si>
    <t>Kelmų šalinimas</t>
  </si>
  <si>
    <t>Želdinių ir želdynų stebėsenos vykdymas</t>
  </si>
  <si>
    <t xml:space="preserve">Teisės aktų reikalavimų įgyvendinimas, siekiant padidinti želdynų plotus. </t>
  </si>
  <si>
    <t>Gyventojų bei jų turto saugumo užtikrinimas</t>
  </si>
  <si>
    <t>Priemonė numatyta atsižvelgiant į gyventojų nusiskundimus, kad mieste daug kelmų, kurie ,,nepuošia" miesto ir kelia grėsmę gyventojų saugumui, taip pat kelmai tampa ligų ir kenkėjų plitimo ir veisimosi vieta, teršiama aplinka. Lėšos suplanuotos, atsižvelgiant  į kitų savivaldybių patirtis perkant paslaugas.</t>
  </si>
  <si>
    <t>Visagino savivaldybės taryba patvirtino programą. Numatomas programos įgyvendinimas</t>
  </si>
  <si>
    <t>Aplinkosauginių programų ir projektų įgyvendinimas</t>
  </si>
  <si>
    <t>Visuomenės informavimas aplinkosaugos klausimais</t>
  </si>
  <si>
    <t>Visuomenės pateiktų projektų  finansavimas.</t>
  </si>
  <si>
    <t>„Verdenės“ gimnazija dalyvauja Lietuvos žaliųjų judėjimo Tarptautinėje gamtosauginių mokyklų programoje. Veiklai koordinuoti pagal Lietuvos žaliųjų judėjimu sudaromą sutartį.  Daugiametė savivaldybės patirtis.</t>
  </si>
  <si>
    <t xml:space="preserve">Projektų veiklų įgyvendinimas baigtas 2024 m. </t>
  </si>
  <si>
    <t>Varninių paukščių gausos reguliavimas</t>
  </si>
  <si>
    <t>Sosnovskio barščio naikinimas</t>
  </si>
  <si>
    <t>2023-06-15 paslaugos teikimo sutartis Nr. 306. Sutarties kaina 12000 Eur. Sutarties trukmė 24 mėn.</t>
  </si>
  <si>
    <t>Teisės aktų reikalavimas naikinti invazinius augalus. 2024-04-05 paslaugos teikimo sutartis Nr. 5-164. Sutarties kaina 12000 Eur. Sutarties trukmė 36 mėn.</t>
  </si>
  <si>
    <t>Visagino savivaldybes teritorijoje bepriežiūrių ir bešeimininkių gyvūnų laikinosios globos ir kitų gyvūnų priežiūros paslaugų teikimas</t>
  </si>
  <si>
    <t xml:space="preserve"> Šunų vedžiojimo/dresavimo aikštelės įrengimas</t>
  </si>
  <si>
    <t>Maišelių šunų ekskrementams laikikliai.</t>
  </si>
  <si>
    <t>Atsižvelgiant į praėjusius metus Visagino savivaldybėje yra pagaunama 100-150 bešeimininkių gyvūnų (2021 m. - 140, 2022 m. - 129/43, 2023 m. - 114/139), dalis jų yra kastruojama/sterilizuojama ir paleidžiami atgal, dalis lieka gyvūnų globos namuose ar atiduodami kitiems globėjams, dalis yra ženklinami mikroschemomis. Vadovaujantis 2024-04-16 sutartimi Nr. 5-181 vieno gyvūno sugavimas kainuoja 216,12 Eur., gyvūno ženklinimas 20 Eur., vadovaujantis 2024-04-16 sutartimi Nr. 5-180 kastravimas/sterilizavimas ir paleidimas atgal 127,14 Eur. Jeigu 2025 m. bus pagauta 120, kastruota/sterilizuota 100 ir pažimėta  mikroschema 80, tai kainuotų 40248,4 Eur, kadangi gali būti sugauta ir daugiau gyvūnų siūlau planuoti 45000 Eur.</t>
  </si>
  <si>
    <t>Maišelių šunų ekskrementams laikiklis 1 vnt. kainuoja apie 200-250 Eur, maišeliai nuo 5 iki 10 Eur. Planuojama nupirkti 20 laikiklių ir papildyti juos maišeliais</t>
  </si>
  <si>
    <t>Komunalinių atliekų surinkimas, vežimas ir tvarkymas (mišrios komunalinės, didelių gabaritų, tekstilės ir maisto atliekos)</t>
  </si>
  <si>
    <t>Darbo užmokestis ir socialinis draudimas</t>
  </si>
  <si>
    <t>Prekių ir paslaugų įsigijimo išlaidos</t>
  </si>
  <si>
    <t>2023-12-28 Sutartis Nr. 5-561 dėl maisto/virtuvės atliekų. 2022-12-01 Sutartis Nr. 5-574 dėl mišrių komunalinių, didelių gabaritų ir tekstilės atliekų.</t>
  </si>
  <si>
    <t>Planuojamas 1 etato pareigybės keitimas iš specialisto į vyr. specialisto ir koeficientų peržiūrėjimas</t>
  </si>
  <si>
    <t>Planuojamas Atris programos modernizavimas, darbo užmokesčio augimas ir kiti ekonominiai veiksniai, lemiantys paslaugų kainų augimą</t>
  </si>
  <si>
    <t xml:space="preserve">Valstybinių miškų, perduotų savivaldybei valdyti patikėjimo teise, tvarkymo darbai (ne projekto lėšos) </t>
  </si>
  <si>
    <t>Miškuose daug pavojingų ir avarinių medžių, kurie kelia grėsmę gyventojų saugumui. Reikalinga juos pašalinti. Numatome pašalinti, išvalyti apie 50 ha miško, pašalinant apie 200-300 vnt. medžių. Pagal gautus preliminarius komercinius pasiūlymus medžio priklausomai nuo skersmens nupjovimo įkainis 146-250 Eur.</t>
  </si>
  <si>
    <t>Vietinio ūkio 
valdymo ir statybos skyrius (D. Kardelienė)</t>
  </si>
  <si>
    <t>Viešosios tvarkos 
ir rinkliavų skyriaus poreikis</t>
  </si>
  <si>
    <t>Testavimo tyrimų atlikimams ugdymo įstaigose arba elektroninių kontrolės priemonių įrengimas siekiant
 užkardyti elektroninių cigarečių neteisėtą vartojimą</t>
  </si>
  <si>
    <t xml:space="preserve">Vaizdo stebėjimo kamerų komunalinėse aikštelėse įdiegimas </t>
  </si>
  <si>
    <t>Projektas EUI 03-256 ECC-EDU</t>
  </si>
  <si>
    <t xml:space="preserve">SB 
simuliatorius </t>
  </si>
  <si>
    <t>SB  kof</t>
  </si>
  <si>
    <t>2025 m. bus sudaromos naujos sutartys, todėl poreikis didinamas</t>
  </si>
  <si>
    <t>01.02.02.02. -1</t>
  </si>
  <si>
    <t>210</t>
  </si>
  <si>
    <t>205</t>
  </si>
  <si>
    <t xml:space="preserve">Įgyvendinant projektą planuojama įrengti šiuo metu nenaudojamas patalpas Visagino lopšeliuose-darželiuose, pritaikant (rekonstruojant, remontuojant) šias patalpas kokybiškai vykdyti ikimokyklinio ir priešmokyklinio ugdymo programas bei siekiant didinti Visagino lopšelių-darželių ugdymo aprėptį (siūlant paslaugas didesniam įvairių tikslinių grupių skaičiui) ir gerinant teikiamų paslaugų kokybę, diegiant naujus ugdymo modelius (t. y. Visagino lopšelius-darželius specializuojant pagal STEAM koncepcijos kryptis bei daugiakalbę aplinką). </t>
  </si>
  <si>
    <t>Projekto tikslas – užtikrinti saugų ir kryptingą pradinių ir 5-8 klasių mokinių užimtumą po pamokų.
Pagrindinės projekto veiklos – dviejose Visagino savivaldybės mokyklose įrengti visos dienos mokyklai pritaikytas erdves.
Vykdymo vieta (-os) – Visagino savivaldybės teritorija: Visagino „Gerosios vilties“ progimnazijos pastatas ir Visagino Draugystės progimnazijos pastatas.
Tikslinė grupė – projekto dalyvaujančių mokymo įstaigų mokiniai ir jų tėvai.</t>
  </si>
  <si>
    <t>2024-05-14 Visagino savivaldybės administracija kartu Nacionaline švietimo agentūra pasirašė jungtinės veiklos sutartį dėl 2021–2030 m. plėtros programos valdytojos Lietuvos Respublikos švietimo, mokslo ir sporto ministerijos švietimo plėtros programos pažangos priemonės Nr. 12-003-03-01-03 „Užtikrinti visiems prieinamą šiuolaikinį ugdymo turinį“  projekto „Ugdymo priemonės mokykloms“ įgyvendinimo. Sutartimi Šalys, susitarė apjungti savo pastangas, darbą ir žinias, siekiant veikti bendrai, turėdamos tikslą įgyvendinti Projekto veiklas, aprūpinant bendrojo ugdymo mokyklas kompiuteriais ir jų įkrovimo dėžėmis ir mokymui skirtomis priemonėmis ir įranga. Maksimali projekto įgyvendinimo vertė tenkanti Visagino savivaldybei - 367011 Eur, iš jų finansuojamąją  dalį  sudaro 100 proc. dotacija. Projekte numatytas veiklas planuojama baigti įgyvendinti  2026 m., tačiau  galutinis projekto įgyvendinimo terminas pagal sutartinius įsipareigojimus yra 2028 m. balandžio 30 d., nes nuo 2026 m. iki 2028 m. bus vykdoma projekte numatytų pasiekti rodiklių stebėsena.  
 Įgyvendindama projektą Visagino savivaldybės administracija teikia ir derina gaunamo turto sąrašus ir turto pristatymo vietas pagal sutarties priede nustatytą mokyklų sąrašą, koordinuoja priemonių ir kompiuterių pasirinkimo procesus mokyklose, užtikrina tinkamą turto priėmimą mokyklose, įgytą turtą teisės aktų nustatyta tvarka perduoda mokykloms valdyti, užtikrina tinkamą turto apskaitą, perdavimo dokumentų tvarkymą, jo naudojimą ir saugojimą, prireikus, atstato ir atkuria prarastą turtą.</t>
  </si>
  <si>
    <t>Valstybės duomenų agentūra</t>
  </si>
  <si>
    <r>
      <t xml:space="preserve">35/65 </t>
    </r>
    <r>
      <rPr>
        <sz val="9"/>
        <rFont val="Arial"/>
        <family val="2"/>
      </rPr>
      <t>(ŠMIR neskirsto į grupes)</t>
    </r>
  </si>
  <si>
    <t>90,3 (ŠMIR neskirsto į grupes)</t>
  </si>
  <si>
    <t xml:space="preserve">nėra duomenų </t>
  </si>
  <si>
    <t>18,4 (LT vidurkis 12,5)</t>
  </si>
  <si>
    <t>15,1 (Lietuvos vidurkis 12,1 proc)</t>
  </si>
  <si>
    <t>Metų nominacijų šventė "Mano miestas - Visaginas" (kas 3 metus)
3 tūks. furšetas
3 tūks. apdovanojimai
4 tūks. koncertinė programa</t>
  </si>
  <si>
    <t>Profesinės šventės, minėtinos dienos (Buhalterių, soc. darbuotojų, mokytojų, kultūros dienų minėjimas). Kitos bendruomenės iniciatyvos (prekės ir paslaugos, transporto išlaidos).</t>
  </si>
  <si>
    <t>Tolygios kultūrinės raidos įgyvendinimas,  kultūros ir meno sričių projektų finansavimas konkurso tvarka</t>
  </si>
  <si>
    <t>Nenumatytų renginių organizavimui (prekės ir paslaugos, transporto išlaidos). Pvz. Koldūnų šventė</t>
  </si>
  <si>
    <t>Visagino miesto 50-mečio jubiliejaus paminėjimo programai (tik 2024 m. lapkričio meto bus sudaroma darbo grupė dėl iniciatyvų)</t>
  </si>
  <si>
    <t>Architektūros sk.: Miesto gatvių, erdvių puošyba (planuojama puošti Kosmoso gatvę - 30 apšvietimo atramų 12 000 Eurų konstrukcijoms ir jų tvirtinimo elementams)
Reikia remontuoti Visagino g. esančias snaiges (perpinti esamas konstrukcijas naujomis girliandomis 2 000 Eur.).</t>
  </si>
  <si>
    <t>Pagal NVO projektų finansavimo tvarkos aprašą planuojama finansuoti ne mažiau kaip 5 NVO</t>
  </si>
  <si>
    <t>Pagal tautinių mažumų projektų finansavimo tvarkos aparšą planuojama finansuoti 4 NVO - tautines mažumas</t>
  </si>
  <si>
    <t>Bendruomeninės veiklos stiprinimas</t>
  </si>
  <si>
    <t xml:space="preserve">Patvirtinus tvarkos aprašą mero potvarkiu, numatyta kasmet nustatyti maksimalią vienam projektui finansuoti sumą. 2024 m. buvo 1000 Eur, 2025 m. atsižvelgiant į kylančias kainas ir norint užtikrinti efektyvius ir turiningus projektų įgyvendinimus, planuojama vienam projektui nustatyti maksimalią finansuotiną sumą iki 3000 Eur. </t>
  </si>
  <si>
    <t>Finansavimas iš ministerijos skiriamas einamųjų metų I ketv.</t>
  </si>
  <si>
    <t xml:space="preserve">Duomenų perdavimo paslauga </t>
  </si>
  <si>
    <t xml:space="preserve">Vaizdo stebėjimo paslauga </t>
  </si>
  <si>
    <t>Miesto vaizdo stebėjimo sistemos atnaujinimas ir plėtra</t>
  </si>
  <si>
    <t xml:space="preserve">
Duomenų perdavimas 1200 Eur su PVM per mėnesį, opertoriui 103 Eur per parą su PVM.  VSS duomenų perdavimas kol kas lieka 1200 Eur su PVM per mėnesį, tai 14400 metams
</t>
  </si>
  <si>
    <t xml:space="preserve">VSS sistemos dispečerių vaizdo stebėjimas - nauja kaina nuo 2023-09-01 dienos 130 Eur su PVM per parą, tai 47450 metams. </t>
  </si>
  <si>
    <t xml:space="preserve">Poreikis pateiktas Vidaus ir informacinių technologijų skyriaus </t>
  </si>
  <si>
    <t>Saulės elektrinės iš nutolusio parko eksploatacinės išlaidos</t>
  </si>
  <si>
    <t>Numatyta 01.01.03.01.</t>
  </si>
  <si>
    <t>Vaikų, gavusių budinčiųjų ir nuolatinių globotojų paslaugas, skaičius/ Vaikų, kuriems mokami pagalbos pinigai skaičius</t>
  </si>
  <si>
    <t>8/42</t>
  </si>
  <si>
    <t>8/40</t>
  </si>
  <si>
    <t>19</t>
  </si>
  <si>
    <t>115</t>
  </si>
  <si>
    <t>117</t>
  </si>
  <si>
    <t>295</t>
  </si>
  <si>
    <t>300</t>
  </si>
  <si>
    <t>55</t>
  </si>
  <si>
    <t>Dalyvavimas projekto „Materialinio nepritekliaus mažinimas Lietuvoje“ įgyvendinime</t>
  </si>
  <si>
    <t xml:space="preserve">Projekto pareiškėjas </t>
  </si>
  <si>
    <t xml:space="preserve">Projekto 
pareiškėjas </t>
  </si>
  <si>
    <t xml:space="preserve">Projekto 
partneris </t>
  </si>
  <si>
    <t>Projekto 
pareiškėjas</t>
  </si>
  <si>
    <t>Vietinio (priemiestinio) reguliaraus susisiekimo maršrutai Nr. 1-4 (Visgaino miestas-sodininkų bendrijos "Pavasaris", "Statybininkas", "Vyšnia" ir "Kapinės").</t>
  </si>
  <si>
    <t xml:space="preserve">Vietinio reguliaraus susisiekimo maršrutas Nr. 5 (Visagino miestas -Lapušiškės kaimas). </t>
  </si>
  <si>
    <t>Vietinio (miesto) reguliaraus susisiekio maršrutas Nr. 8 (Visagino miestas)</t>
  </si>
  <si>
    <t>Vietinio reguliaraus susisiekimo maršrutas Nr. 6 (Visagino miestas - Makaravo kaimas).</t>
  </si>
  <si>
    <t>Vadovaujantis 2024-05-30 sutartimi Nr. 5-245 2025 m. planuojams reisų skaičius į sodininkų bendrijas 460. Maršrutų ilgis 66,8 km. Vieno km savikaina (perskaičiuojama kas metus) 1,33 Eur., rentabilumas 4 proc. 460x66,8x1,33x1,04=42502,97 Eur. 2025 m. planuojamas reisų skaičius į kapines 20. Maršruto ilgis 40 km. Vieno km savikaina 1,33 Eur., rentabilumas 4 proc. 20x40x1,33x1,04=1108,56 Eur. Bendros išlaidos aptarnauti maršrutus į SB ir kapines: 42502,97+1108,56=43609,53 Eur. 
Atsižvelgiant į tai jog kiekvienais metais gali būti perskaičiuotas kilometro įkainis ar padidintas reisų skaičius, išlaidas prašome padidinti apie 15 proc. tai yra iki 50 000 Eur.</t>
  </si>
  <si>
    <t xml:space="preserve">2025 m. planuojams reisų skaičius 400 reisų.
 Maršruto ilgis 27 km. Vieno km savikaina (perskaičiuojama kas metus) 1,37 Eur., rentabilumas 5 proc. 400x27x1,37x1,05=15535,8 Eur. Vadovaujantis 2023-06-14 sutartimi Nr.5-303 maksimalus galimas reisų skaičius 456, taigi galimos išlaidos: 456x27x1,37x1,05=17710,81 Eur. </t>
  </si>
  <si>
    <t>Vadovaujantis 2024-06-18 sutartimi Nr. 5-273 šiuo metu per dieną vykdomi 15 reisų po 9 km. ir 3 reisai po 7 km. viso 156 km. per dieną. Kilometro savikaina 1,43, rentabilumas 4 proc. maksimalus galimas reisų skaičius 21 reisas per dieną. 156x365x1,43x1,04=84681,17 Eur.
Atsižvelgiant į tai jog kiekvienais metais gali būti perskaičiuotas kilometro įkainis ar padidintas reisų skaičius, išlaidas prašome padidinti apie 20 proc. tai yra iki 100 000 Eur.</t>
  </si>
  <si>
    <t>Vadovaujantis 2024-06-18 sutartimi Nr. 5-274 šiuo metu per dieną vykdomi  5 reisai, kurių bendras ilgis 151 km., kilometro savikaina 1,22 Eur. rentabilumas 4 proc. 365x151x1,22x1,04=69929,91 Eur. Atsižvelgiant į tai jog gali būti perskaičiuota kilometro savikaina ar didesnis reisų skaičius išlaidas siūlau padidinti bent 15 proc. tai yra apytiksliai iki 80 000 Eur.
Atsižvelgiant į tai, kad maršrutui nustatyta bilieto kaina 1 Eur (mėnesinio bilieto 30 Eur), viena įmonė yra įsipareigojusi nupirkti kas mėnesį po 80 mėnesinių bilietų (80x30x12=28800 Eur) ir reise planuojama leisti autobusą ne mažiau 50 vietų, kurio užpildymas tikimasi bus nemažiau 30%, tai už bilietus leistų surinkti apie 35000 Eur. Atsižvelgiant į išdėstytą planuojame, kad maršrutui aptarnauti reiks apie 45000 Eur.</t>
  </si>
  <si>
    <t>Vietinio (miesto/priemiestinio) reguliaraus susisiekimo maršrutai (Visgaino miestas-sodininkų bendrijos "Pavasaris", "Statybininkas", "Vyšnia", "Lapušiškės", "Kapinės", Visagino miesto maršrutas ir maršrutas Visaginas - Makaravo kaimas (pramonės zona))</t>
  </si>
  <si>
    <t>Visagino savivaldybės tarybos 2020 m. birželio 17 d. sprendimu Nr. TS-138 "Dėl viešojo transporto lengvatų" nuspręsta nustatyti 100 proc. nuolaidą įsigyjant vietinio reguliaraus susisiekimo maršrutų bilietus (Visagino mieste ir maršrutuose į sodininkų bendrijas). 
Maršruto Visaginas-Makaravo kaimas bilieto kaina 1 Eur, per dieną planuojama vykdyti 5 reisus, prognazuojame, kad viename reise važiuotų bent 30 keleivių, per metus 30x5x365=54750 keleivių, kurie sumokėtų ir tiek pat eurų, jeigu iš visų keleivių būtų bent 10% (5475) keleivių, kuriems priklauso lengvatiniai bilietai, tai savivaldybei kainuotų apie 2500 Eur, darant prielaidą, kad pagrindinė lengvata būtų 50% nuolaida.</t>
  </si>
  <si>
    <t>Suma preliminari, planuojama atsižvelgiant į ankstesnius metus, nes nėra aišku 
kiek Visagino mokyklų ar Visagino technologijos ir verslo profesinio mokymo centro mokinių naudosis autobusų parkų ar Lietuvos geležinkelių paslaugomis. Planuojami 8000 Eur, nes nuo 2025 m. pradžios galima būtų vaikus iš Dūkšto ir jo apylinkių vežti ne mokykliniu autobusu, o naudojantis Lietuvos geležinkelių paslaugomis, jeigu mokyklos sutiktų pradėti pokakas vėliau (1 bilieto kaina 1,10 Eur, tačiau galima pirkti mėnesinius, kurie vidutiniškai kainuoja 15 Eur vienam mokiniui, preliminarus vaikų skaičius 52 vaikai, mokslo metai 10 mėn., 15x52x10=7800 Eur. Jeigu mokinius bus nuspręsta vežti autobusu (perkant paslaugą) tuomet reiktų skirti daugiau lėšų RPC. Mokiniai, kurie naudojasi Ignalinos ar Zarasų autobusų parkų paslaugomis yra vežami nemokamai, nes Ignalinos ir Zarasų autobusų parkai vietinius (priemiestinius) maršrutus vykdo namokamai.</t>
  </si>
  <si>
    <t xml:space="preserve">Projektas "Darnaus ir saugaus judumo vystymas Visagine" </t>
  </si>
  <si>
    <t xml:space="preserve">Projektas "Dviračių ir pėsčiųjų takų plėtra  Visagine, I etapas" </t>
  </si>
  <si>
    <t>Projektas "Dviračių ir pėsčiųjų takų plėtra  Visagine, II etapas"</t>
  </si>
  <si>
    <t>R-10-01-02-02</t>
  </si>
  <si>
    <t>Įvažiavimas į kiemą Nr. 312 (Nr.70).</t>
  </si>
  <si>
    <t>Tumelinos gatvės, Tumelinos kaime, Visagino savivaldybės teritorijoje kapitalinis remontas.</t>
  </si>
  <si>
    <t>Greičio mažinimo kalnelių keitimas Visagino mieste</t>
  </si>
  <si>
    <t xml:space="preserve">2019 m. Visagino mieste buvo įrengtos dvi elektromobilių įkrovimo aikštelės Parko g. 14 ir Taikos pr. 80 A. 2022 m.  įrengta dar tris elektromobilių įkrovimo prieigų aikšteles šalia pastatų Taikos pr. 7, Tarybų g. 12 ir Energetikų g. 20. Planuojamos lėšos esamų 5  aikštelių eksploatavimui. Išlaidos apmokėti už elektros energiją 3 aikštelėse, nemokama elektra iki 2025 m. spalio 31 d. </t>
  </si>
  <si>
    <t xml:space="preserve">Projekto veiklų įgyvendinimas baigtas. </t>
  </si>
  <si>
    <t>10.02.03.02. -1 (TP)</t>
  </si>
  <si>
    <t xml:space="preserve">Projekto "Pastato, esančio Parko g. 14, Visagine modernizavimas" įgyvendinimas </t>
  </si>
  <si>
    <t>Planuojama pirkti modernizavimo darbų techninį darbo projektą. 2024 m. parengtas energenio vartojimo auditas už 5082,00 eurų su PVM. Planuojama 2025 m. įvykdyti darbų pirkimą. Darbus planuojama pradėti 2026 metais.</t>
  </si>
  <si>
    <t xml:space="preserve">Projekto "Pastato Kosmoso g 28 A, Visagine,  energetinio audito ir investicinio projekto parengimas ir pastato atnujinimas (modernizavimas)" įgyvendinimas </t>
  </si>
  <si>
    <t>10.02.03.02. -2 (TP)</t>
  </si>
  <si>
    <t xml:space="preserve">Remonto darbų įgyvendinimas baigtas 2024 m. </t>
  </si>
  <si>
    <t>2024 metais bus parengta projekto nauja laida, 2024-08-22 pasirašyta  sutartis su UAB ,,Patvanka" dėl Visagino centrinio stadiono futbolo aikštės apšvietimo modernizavimo projekto korektūros.Sutarties Nr.: 5-384, paslaugų atlikimo pabaiga- 2024-10-20.
Sutarties suma: 20 570,00 eurų su PVM.  2025 metais planuojama įgyvendinti visą projektą</t>
  </si>
  <si>
    <t xml:space="preserve">Organizuoti paviljono  (siurblinės)  įrengimo darbus ir kontroliuoti jų įgyvendinimą </t>
  </si>
  <si>
    <t xml:space="preserve">Organizuoti  vandens ėmyklos su siurblinės įranga įrengimo darbus ir kontroliuoti jų įgyvendinimą </t>
  </si>
  <si>
    <t>Organizuoti vandentiekio tinklų tiesimo ir pajungimo darbus ir kontroliuoti jų atlikimą</t>
  </si>
  <si>
    <t>Organizuoti stadiono apšvietimo (esamų apšvietimo bokštų šviestuvų keitimas) darbus ir kontroliuoti jų atlikimą</t>
  </si>
  <si>
    <t>Organizuoti privažiavimo (aptarnavimo) kelio įrengimo darbus ir kontroliuoti jų įgyvendinimą</t>
  </si>
  <si>
    <t xml:space="preserve">Organizuoti mažojo stadiono, esančio Parko g. 2H, Visagine, supaprastinto statybos darbų projekto pirkimas </t>
  </si>
  <si>
    <t>Parengtas mažojo stadiono supaprastintas statybos projektas 
(Projektuojamas uždaras futbolo stadionas- maniežas)</t>
  </si>
  <si>
    <t xml:space="preserve">Organizuoti viešojo pirkimo konkursą dėl techninio darbo projekto ,,Kosmoso g. 3B,  esančioje aikštelėje riedlenčių parko įrengimas" parengimo ir įrengimo darbu pirkimo </t>
  </si>
  <si>
    <t xml:space="preserve">Organizuoti viešojo pirkimo konkursą dėl rangos darbų Draugystės progimnazijos stadiono sutvarkymą </t>
  </si>
  <si>
    <t>03.01.02.06-1  (TP)</t>
  </si>
  <si>
    <t>03.01.02.06-2  (TP)</t>
  </si>
  <si>
    <t xml:space="preserve">Projekto "VšĮ Visagino sporto ir rekreacijos centro sporto komplekso (Parko g.2A) salės atnaujinimas pritaikant ją visuomenės poreikiams"  įgyvendinimas </t>
  </si>
  <si>
    <t xml:space="preserve">Projekto "Pasikrauk energijos Visagine" įgyvendinimas </t>
  </si>
  <si>
    <t xml:space="preserve">Įgyvendinant šią priemonę planuojama prisidėti prie esamų sporto bazių plėtros, priežiūros ir remonto bei užtikrinti dalinį finansavimą Sporto rėmimo fondo lėšomis finansuojamiems projektams. Teikiamų projektų tikslas – prisidėti prie sporto bazių prieinamumo didinimo, sąlygų įvairaus amžiaus ir poreikių asmenų fiziniam aktyvumui gerinimo ir organizuotai sportuojančių asmenų skaičiaus didėjimo.
Įgyvendinant šią priemonę planuojama prisidėti prie esamų sporto bazių plėtros, priežiūros ir remonto bei užtikrinti dalinį finansavimą Sporto rėmimo fondo lėšomis finansuojamiems projektams. Teikiamų projektų tikslas – prisidėti prie sporto bazių prieinamumo didinimo, sąlygų įvairaus amžiaus ir poreikių asmenų fiziniam aktyvumui gerinimo ir organizuotai sportuojančių asmenų skaičiaus didėjimo.
</t>
  </si>
  <si>
    <t>Vadovaujantis Nacionalinės sporto agentūros prie Lietuvos Respublikos švietimo, mokslo ir sporto ministerijos direktoriaus 2024 m. birželio 20 d. įsakymu Nr. VF-2024/25, VšĮ Visagino sporto ir rekreacijos centro projektui buvo skirtas finansavimas. Siekiant įgyvendinti projekte numatytas veiklas planuojama atlikti sporto komplekso (Parko g.2A) akrobatikos salės kapitalinį remontą,  įsigyti naują sporto įrangą bei pagerinti fiziškai aktyvios visuomenės ugdymo, įvairaus amžiaus ir poreikių asmenų fizinio aktyvumo sąlygas bei padidinti sportuojančių asmenų skaičių. Projekto finansuojamoji dalis yra iki 75 procentų visų tinkamų finansuoti projekto išlaidų, nuosavo įnašo dalis turi sudaryti ne mažiau kaip 25 procentų visų tinkamų finansuoti projekto išlaidų. Bendra projekto vertė 404 739,16 Eur, iš jų skirtos Sporto rėmimo fondo lėšos 303 554,37 Eur (75 proc.), investuojamos savivaldybės biudžeto lėšos 101 184,79 Eur (25 proc.).</t>
  </si>
  <si>
    <t>Vietinio ūkio
valdymo A. Gergel poreikis</t>
  </si>
  <si>
    <t xml:space="preserve">10 vnt. meninių kompozicijų įdiegimas </t>
  </si>
  <si>
    <t>Visagino miesto šokančioir grojančio "Saulutė" fontano priežiūra ir operatoriaus paslaugos</t>
  </si>
  <si>
    <t>Fontano komunalinės išlaidos (vanduo, elektros energija)</t>
  </si>
  <si>
    <t>Įgyvendinant priemonę bus vykdoma Sedulinos alėjos fontano „Saulutė" priežiūra, sudarant paslaugų priežiūros sutartį sekančiam laikotarpiui, išlaidų poreikis komunalinėms paslaugos paskaičiuotas įvertinus išlaidas 2024 m. 8 mėn.</t>
  </si>
  <si>
    <t xml:space="preserve">Aplinkos tvarkymo 
skyrius </t>
  </si>
  <si>
    <t xml:space="preserve">Pastatų numerių ir gatvės pavadinimų lentelės : 80 vnt. </t>
  </si>
  <si>
    <t>Pramonės gatvės apšvietimo tinklų modernizavimas (natrio lempų keitimas į LED lempas su pritemdymu)</t>
  </si>
  <si>
    <t xml:space="preserve"> Apšvietimo tinklų ir elektros įrangos remontas</t>
  </si>
  <si>
    <t xml:space="preserve">Slidinėjimo trasos apšvietimo elektros tinklų įrengimas, Visagino mieste, pagal techninį darbo projektą Nr. 24031.01-01-TDP 
</t>
  </si>
  <si>
    <t>Pagal 2024-01-23sudarytą paslaugų teikimo sutartį Nr. 5-29, kuri galioja iki 2026-01-23</t>
  </si>
  <si>
    <t>2025 metais įrengiamo apšvietimo kabelio ilgis 2072m, įrengiamos 5 metrų aukščio cinkuotos plieninės apšvietimo 
atramos su šviestuvais 67 vnt, ir 8 metrų aukščio cinkuotos plieninės apšvietimo atramos su šviestuvais 3 vnt.  
Apšvietimo valdymo spinta. ESO dalis. 2026 metais užbaigiamas projektas.2026 metais bus  įrengta apšvietimo kabelis -3677  m, 5 metrų aukščio cinkuotos plieninės apšvietimo 
atramos su šviestuvais 123 vnt.</t>
  </si>
  <si>
    <t xml:space="preserve">Visagino senų kapinių kelių ir laiptų remontas </t>
  </si>
  <si>
    <t xml:space="preserve">Magūnų kapinių laiptų remontas </t>
  </si>
  <si>
    <t xml:space="preserve"> 2024 m. nebuvo atliktas</t>
  </si>
  <si>
    <t>2024 m. atliktas avarinis remontas savo jėgomis, 
bet laiptams reikalingas kapitalinis remontas.</t>
  </si>
  <si>
    <t xml:space="preserve">Vietinio ūkio valdymo ir statybos skyriaus poreikis </t>
  </si>
  <si>
    <t xml:space="preserve">Aplinkos tvarkymo skyriaus poreikis </t>
  </si>
  <si>
    <t>Gaisro aptikimo ir signalizavimo sistemos, evakuacijos įgarsinimo sistemos bei šviečiančių evakuacijos krypties ženklų aptarnavimas</t>
  </si>
  <si>
    <t xml:space="preserve">Visagino viešosios bibliotekos geokupolo įrengimas </t>
  </si>
  <si>
    <t xml:space="preserve">Baigtas 2024 m. </t>
  </si>
  <si>
    <t xml:space="preserve">2024 m. nepanaudota </t>
  </si>
  <si>
    <t>Naujas Gervės ekranas</t>
  </si>
  <si>
    <t xml:space="preserve">VšĮ pirminės sveikatos priežiūros centras </t>
  </si>
  <si>
    <t xml:space="preserve">VšĮ Visagino ligoninė </t>
  </si>
  <si>
    <t xml:space="preserve">Raudonasis kryžius </t>
  </si>
  <si>
    <t>Visuomenės sveikatos biuras</t>
  </si>
  <si>
    <t xml:space="preserve">UAB Sedulinos centras </t>
  </si>
  <si>
    <t>Planuojama veikla: 1) Sveikatos centro veiklos koordinavimo procesus reglamentuojančio dokumento parengimas (paslaugų pirkimas); 2) Sveikatos centro koordinatoriaus veiklos finansavimas (darbo užmokestis, 36 mėnesiai); 3) Daugiadalykės specialistų komandos veikla, vykdoma taikant naują paslaugų teikimo modelį, t. y. darbo užmokesčio išlaidos. Daugiadalykę specialistų komandą sudarys šeimos gydytojo komandos nariai (šeimos gydytojai, bendrosios praktikos slaugytojai ir atvejo vadybininkai), taip pat gyvensenos specialistas. Daugiadalykės specialistų komandos nariai teiks asmens veikatos priežiūros paslaugas asmenims, sergantiems lėtinėmis neinfekcinėmis ligomis; 4) daugiadalykės specialistų komandos narių mokymai taikyti efektyvius paslaugų teikimo modelius; 5) prietaisų, skirtų pacientų sveikatos būklei ambulatoriškai ir nuotoliniu būdu stebėti ir vertinti, įsigijimas ir reikalingų programėlių, įgalinančių stebėti pacientų sveikatos būklę ir pateikti rekomendacijas, įsigijimas ir įdiegimas mobiliajame telefone ir (ar) kompiuteryje; 6) dokumentų, reikalingų  pacientų srautų valdymo ir (ar) paslaugų teikimo priemonių (taikant žaliojo koridoriaus principą) įgyvendinimui, parengimas (paslaugų įsigijimas).</t>
  </si>
  <si>
    <t>Planuojama veikla: 1) Daugiadalykės specialistų komandos veikla, vykdoma taikant naują paslaugų teikimo modelį, t. y. darbo užmokesčio išlaidos. Daugiadalykę specialistų komandą sudarys šeimos gydytojo komandos nariai (šeimos gydytojai, bendrosios praktikos slaugytojai ir atvejo vadybininkai), taip pat gyvensenos specialistas. Daugiadalykės specialistų komandos nariai teiks asmens veikatos priežiūros paslaugas asmenims, sergantiems lėtinėmis neinfekcinėmis ligomis; 2) prietaisų, skirtų pacientų sveikatos būklei ambulatoriškai ir nuotoliniu būdu stebėti ir vertinti, įsigijimas ir reikalingų programėlių, įgalinančių stebėti pacientų sveikatos būklę ir pateikti rekomendacijas, įsigijimas ir įdiegimas mobiliajame telefone ir (ar) kompiuteryje; 6) dokumentų, reikalingų  pacientų srautų valdymo ir (ar) paslaugų teikimo priemonių (taikant žaliojo koridoriaus principą) įgyvendinimui, parengimas (paslaugų įsigijimas; 3) dokumentų, reikalingų  pacientų srautų valdymo ir (ar) paslaugų teikimo priemonių (taikant žaliojo koridoriaus principą) įgyvendinimui, parengimas (paslaugų įsigijimas).</t>
  </si>
  <si>
    <t>Visagino ligoninė vykdys Aprašo
veiklas: 2.1.2. punkte numatoma finansuoti studijas 1 (vienam) gydytojui kardiologui 4 (keturis) metus ir 1 (vienam) gydytojui anesteziologui-reanimatologui 5 (penkis)metus; 2.1.5. punktenumatoma apmokėti7 (septyniems)bendros praktikos slaugytojams studentams 3,5 ( trejus su puse) metų studijas.</t>
  </si>
  <si>
    <t>Visagino pirminės sveikatos priežiūros centras vykdys Aprašo veiklas: 2.1.1. punkte numatoma
mokėti 2 (dviems) gydytojams rezidentams po 1 (vienus) metus priedus prie darbo užmokesčio; 2.1.3. punkte numatoma perkvalifikuoti 1 (vieną) Vidaus ligų gydytoją 2 (dviejus) metus (t.y baigiant trumpesnę Šeimos medicinos rezidentūros studijų programą rezidentūros studijų programos kaina);</t>
  </si>
  <si>
    <t>UAB Sedulinos sveikatos centras vykdys Aprašo veiklas: 2.1.5. punkte numatoma apmokėti 7 (septyniems) bendros praktikos slaugytojams studentams 3,5 ( trejus su puse) metų  studijas.</t>
  </si>
  <si>
    <t>Paramą gavusių nacionalinio, regionų ar vietos lygmens viešojo administravimo ar viešąsias paslaugas teikiančių įstaigų skaičius , subjektai</t>
  </si>
  <si>
    <t>Asmenys, dalyvavę veiklose, skirtose lėtinei ligai savarankiškai valdyti, asmenys</t>
  </si>
  <si>
    <t>36</t>
  </si>
  <si>
    <t xml:space="preserve">Projektą planuojama įgyvendinti 2021-2027 m.  Europos Sąjungos investicijų programos lėšomis.  Paraišką projekto finansavimui gauti planuojama teikti 2024  m. IV ketvirtyje. Įgyvendinant projektą planuojamos šios veiklos:
 - techninės dokumentacijos parengimas;
 - 40-ies aikštelių plėtra, įrengiant 40 vnt. maisto /virtuvės atliekų pusiau požeminių konteinerių (1,3 kubinių metrų talpos) ir 10 vnt. tekstilės atliekų antžeminių konteinerių bei įrengiant infrastruktūrą esamiems (10 vnt.) tekstilės konteineriams;
 - 40 vnt. konteinerių maisto /virtuvės ir 10 vnt. tekstilės atliekų surinkimo konteinerių įsigijimas;
Planuojama bendra projekto vertė 
</t>
  </si>
  <si>
    <t xml:space="preserve">Dviračiams skirta infrastruktūra, kuriai suteikta parama (Kilometrai) </t>
  </si>
  <si>
    <t>6,53</t>
  </si>
  <si>
    <t>Dviračiams skirtos infrastruktūros naudotojų skaičius per metus (Naudotojai per metus)</t>
  </si>
  <si>
    <t>1000</t>
  </si>
  <si>
    <t>12,27</t>
  </si>
  <si>
    <t>1500</t>
  </si>
  <si>
    <t xml:space="preserve">Įgyvendintos darnaus judumo priemonės </t>
  </si>
  <si>
    <t>R. Panavienė</t>
  </si>
  <si>
    <t xml:space="preserve">Visagino savivaldybei priklausančių pastatų draudimas </t>
  </si>
  <si>
    <t>A. Andrijanov</t>
  </si>
  <si>
    <t xml:space="preserve"> Tarptautinio susisiekimo traukiniu maršrutas Vilnius-Daugpilis</t>
  </si>
  <si>
    <t>Visagino savivaldybė kartu su UAB "LTG Link" planuoja atnaujinti traukinių eismo maršrutą Vilnius-Daugpilis ir jeigu maršrutas būtų nuostolingas Visagino savivaldybė planuoja pasirašyti sutartį su UAB "LTG Link" dėl pusės nuostolių dengimo. Pagal UAB "TLG Link" skaičiavimus per metus toks maršrutas vienai sutarčių šaliai kainuotų apie 60 000 Eur</t>
  </si>
  <si>
    <t xml:space="preserve">VRPC poreikis </t>
  </si>
  <si>
    <t>Autobusų stoties veiklos užtikrinimas</t>
  </si>
  <si>
    <t>Kosmoso g. 30 pastato renovacija</t>
  </si>
  <si>
    <t xml:space="preserve">Festivalio g. 1 pastato renovacija </t>
  </si>
  <si>
    <t xml:space="preserve">Festivalio g. 3 pastato renovacija </t>
  </si>
  <si>
    <t>Bendras plotas 6776,06 kv.m.  VSA priklausantis naudingas plotas 4457,58 kv.m.
iš jų negyvenamųjų patalpų 81,66 kv.m. Bendra investicinio projekto (A klasės) suma 3 397 821,87 Eur. Preliminari savivaldybei priklausanti investicijų suma 2 520 886 EUR</t>
  </si>
  <si>
    <t>Bendras plotas 3358,07 kv.m.  VSA priklausantis naudingas plotas 1908,16  kv.m. Bendra investicinio projekto suma 1990872 Eur. Preliminari savivaldybei priklausanti investicijų suma 1 131 275 EUR</t>
  </si>
  <si>
    <t>Bendras plotas 3354,70 kv.m.  VSA priklausantis naudingas plotas 1543,75 kv.m. Bendra investicinio projekto suma 1957191 Eur. Preliminari savivaldybei priklausanti investicijų suma 900 839 EUR</t>
  </si>
  <si>
    <t>Paviršinių nuotekų surinkimo ir valymo sistemos (tinklų, įrenginių) modernizavimas</t>
  </si>
  <si>
    <t xml:space="preserve">2024 m. vasario 2 d. sprendimu Visagino savivaldybės mero potvarkiu Nr. PV-E-73 "Dėl UAB „Visagino būstas“ 2024–2028 metų paviršinių nuotekų tvarkytojo veiklos plano patvirtinimo", buvo patvirtintas UAB „Visagino būstas“ 2024–2028 metų paviršinių nuotekų tvarkytojo veiklos planas, kuriame numatytos būtinos įgyvendinti priemonės. </t>
  </si>
  <si>
    <t xml:space="preserve">Paviršinių (lietaus) nuotekų 1000-1200 mm skersmens vamzdyno rekonstrukcija nuo šulinio L-201 iki L-103a Partizanų g. </t>
  </si>
  <si>
    <t>Paviršinių (lietaus) nuotekų 800-1000 mm skersmens vamzdyno rekonstrukcija nuo šulinio L-234 iki L-184 Vilties g. Lietaus nuotekų magistralinio šulinio tarp šulinių L-234 ir L-231 įrengimas.</t>
  </si>
  <si>
    <t>Lietaus nuotekų magistralinio 300 mm skersmens vamzdyno rekonstrukcija nuo šulinio L-83 ir L-42 įrengimas, Sedulinos al.-Energetikų g.</t>
  </si>
  <si>
    <t>Paviršinių nuotekų sistemos šulinių atskyrimas nuo buitinių komunalinių tinklų šulinių, esančių Taikos pr. 10, tarp gyvenamųjų namų Taikos pr. 58 ir Statybininkų g. 15, Taikos pr. 23</t>
  </si>
  <si>
    <t>1 atviro kanalo valymas ir gilinimas
(kodas 1300034)</t>
  </si>
  <si>
    <t>2 atviro kanalo valymas ir gilinimas
(kodas 1300036)</t>
  </si>
  <si>
    <t>Paviršinių nuotekų sistemos šulinių remontas ir rekonstrukcija</t>
  </si>
  <si>
    <t>10.03.06. (T)</t>
  </si>
  <si>
    <t>Stiprinti pasirengimą valdyti krizes ir ekstremaliąsias situacijas ir šalinti jų padarinius</t>
  </si>
  <si>
    <t xml:space="preserve">Projekto "Priedangų infrastruktūros plėtra Visagino savivaldybėje" įgyvendinimas </t>
  </si>
  <si>
    <t xml:space="preserve">SB (L) </t>
  </si>
  <si>
    <t xml:space="preserve">2.8.2.8. </t>
  </si>
  <si>
    <t xml:space="preserve">„Sportuoti gali visi!“ </t>
  </si>
  <si>
    <t>Visagino vaikų
 lopšelio-darželio „Auksinis raktelis“</t>
  </si>
  <si>
    <t>Visagino vaikų
 lopšelio-darželio „Auksinis gaidelis“</t>
  </si>
  <si>
    <t>2024-11-21 Nr. TS-191 Dėl Visagino savivaldybės sporto veiklos finansavimo tvarkos
aprašo patvirtinimo</t>
  </si>
  <si>
    <t>Visagino savivaldybės tradicinių, tarptautinių, regioninių, respublikinių sporto renginių sričiai</t>
  </si>
  <si>
    <t xml:space="preserve">Aukšto meistriškumo sportininkų pa(si)rengimo ir dalyvavimo oficialiose tarptautinėse varžybose finansavimo sričiai </t>
  </si>
  <si>
    <t>03.02.01. (T)</t>
  </si>
  <si>
    <t>Skatinti geriausius sportininkus ir jų trenerius už avivaldybės garsinimą ir sporto laimėjimus šalies, tarptautinėse varžybose, aktyvinti savivaldybės gyventojų sportinę veiklą</t>
  </si>
  <si>
    <t>03.02.01.01. (TP)</t>
  </si>
  <si>
    <t>Visagino savivaldybės sportininkų ir jų trenerių apdovanojimams</t>
  </si>
  <si>
    <t>R-05-04-01-03</t>
  </si>
  <si>
    <t>Savivaldybėse  įsteigti  koordinatorių etatai  ir įdarbinti asmenys</t>
  </si>
  <si>
    <t>J. Kriaučiūnaitė</t>
  </si>
  <si>
    <t xml:space="preserve">
2022-09-27 Pirkimo sutartis Nr.5-452 (Parko g. 14 statinio techninės priežiūros sutartis)
2023-08-21 Pirkimo sutartis Nr.5-383  (Vilties g. 3, Draugystės g. 10, Taikos per. 15D, Taikos pr. 23,  statinio techninės priežiūros sutartis)
Statinių techninės priežiūros paslaugos 
</t>
  </si>
  <si>
    <t>O. Beinia</t>
  </si>
  <si>
    <t xml:space="preserve">Projekto EUI 03-256 ECC-EDU „Visaginas - Energy Competence Center: changing energy consumption habits through education of consumers“ (liet. Visaginas - energetikos kompetencijų centras: energijos vartojimo įpročių keitimas per vartotojų švietimą)  projektinė paraiška pateikta  Europos miestų iniciatyvai
– inovatyvių sprendimų kvietimui. Vienas iš pagrindinių Europos miestų iniciatyvos (EMI), ypač jos inovatyvių sprendimų krypties (EMI-IS), tikslų – tęsti pagal miestų inovatyvių sprendimų iniciatyvą pradėtą paramą, suteikiant miestų valdžios institucijoms visoje Europoje erdvės ir išteklių, kad jos galėtų nustatyti ir išbandyti (per bandomuosius projektus) naujus inovacinius atsakymus į tarpusavyje susijusius ir sudėtingus vietos iššūkius, susijusius su tvaria miestų plėtra.
Projektas orientuotas į naujos vietos gyventojų švietimo ir mokymo sistemos kūrimą apie tausų energijos naudojimą kasdieniame gyvenime. Bendras tikslas. Prisitaikyti prie vietinės ir nacionalinės energetikos perėjimo sistemos per vaikų ir suaugusiųjų švietimą, įtraukimą, būtinų įgūdžių ir įpročių formavimąsi. Projekto tikslas – sukurti energetikos pažinimo infrastruktūrą ir modulius, kurie leistų perteikti sudėtingą energetikos temą vaikams ir suaugusiems paprastai ir aiškiai, pasitelkiant novatoriškas technologijas. Planuojama, kad integruojant turimą potencialą ir sukauptą patirtį bus sukurta inovatyvi švietimo ir žinių sistema, kuri bus perduota projekto partneriams ES. Planuojami 9 projekto partneriai. Planuojamas projekto biudžetas 6,249,985.00 Eur, iš jų ES parama 4,999,988.00 Eur. Planuojama projekto įgyvendinimas (atrinkus projektų konkurse ir skyrus finansavimą) 2025 m. IV ketv. – 2029 m. I ketv. 
Planuojami rezultatai:
Bus sukurtas Energijos centras (rekonstruotos patalpos, sukurtos edukacinės erdvės pastate, esančiame Balto g. 1, Visagino sav.);
Bus skaitmenizuotas IAE modelis (Energetikos technikos muziejus);
Mokomosios medžiagos parengimas šalies mokytojams energetikos tema ir adaptavimas dėstymui Energijos centre;
Renginiai, mokymai tikslinėms grupėms. </t>
  </si>
  <si>
    <t>be konkurso</t>
  </si>
  <si>
    <t>perkelta
 į 03.01.02.03</t>
  </si>
  <si>
    <t>Lietuvos mokyklų sporto žaidynės+transportas (5 000 EUR)</t>
  </si>
  <si>
    <t>konkursui</t>
  </si>
  <si>
    <t>Skiriama per įstaigos veiklą  2,324</t>
  </si>
  <si>
    <t>Skiriama per įstaigos veiklą 5,500</t>
  </si>
  <si>
    <t xml:space="preserve">Svetainės www.visaginas.lt atnaujinimas
</t>
  </si>
  <si>
    <t>01.02.02.08. (TP)</t>
  </si>
  <si>
    <t>Naujai įrengtų ekranų aptarnavimas  S+G</t>
  </si>
  <si>
    <t xml:space="preserve">Įgyvendinant priemonę planuojama dalyvauti  "Jaunimo vasaros akademijoje" Raseiniuose, organizuoti jau tradicija tampanti jaunimo festivalį Visagine, taip pat organizuoti įvairias akcijas ir šviečiamąsias veiklas  jaunimui bei užtikrinti Visagino jaunimo reikalų tarybos veiklą. </t>
  </si>
  <si>
    <t xml:space="preserve">Jaunimo savanoriškos veiklos stiprinime dalyvavusių asmenų skaičius </t>
  </si>
  <si>
    <t xml:space="preserve">Projekto "Pastato Vilties g. 1,  energetinio audito ir investicinio projekto parengimas ir pastato atnujinimas (modernizavimas)" įgyvendinimas </t>
  </si>
  <si>
    <t xml:space="preserve">Visagino savivaldybės daugiabučių namų atnaujinimo (modernizavimo) programos įgyvendinimui ir daugiabučių namų savininkų bendrijų valdymo organų švietimui </t>
  </si>
  <si>
    <t>Viešųjų pirkimų programinės įrangos Ecocost icencijų pirkimo ir programinės įrangos paslaugos (integracija su SABIS)</t>
  </si>
  <si>
    <t>Visagino skaitmeninio miesto dvynio informacinės sistemos sukūrimo paslaugos</t>
  </si>
  <si>
    <t>Visagino savivaldybės sporto renginių, fizinio aktyvumo veiklų skatinimo sričiai+baseinas 200 000</t>
  </si>
  <si>
    <t xml:space="preserve">Sporto įvairovės, gyventojų fizinio aktyvumo, prieinamumo įvairioms visuomenės grupėms užtikrinimas
</t>
  </si>
  <si>
    <t>Nematerialaus paveldo apsaugos funkcijos užtikrinimas, administravimas, "Sabantuj"- totorių kultūros diena</t>
  </si>
  <si>
    <t xml:space="preserve">Įgyvendinant šią priemonę bus organizuojama metų nominacijų šventė Mano miestas – Visaginas. Taip pat minimos įvairios Visagino bendruomenėms svarbios datos bei profesinės šventės. </t>
  </si>
  <si>
    <t>2024 m. lapkričio 21 d. VSA tarybos sprendimo Nr. TS-186 "Kultūros ir meno projektų finansavimo Visagino savivaldybės biudžeto lėšomis tvarkos aprašo" 18.1 sritis " Visagine rengiami kultūros ir meno festivaliai"</t>
  </si>
  <si>
    <t xml:space="preserve">Prisidėjimas prie festivalio "Visagino country" organizavimas </t>
  </si>
  <si>
    <t>2024 m. lapkričio 21 d. VSA tarybos sprendimo Nr. TS-186 "Kultūros ir meno projektų finansavimo Visagino savivaldybės biudžeto lėšomis tvarkos aprašo" 18.2 sritis " Visagine įgyvendinami kultūros ir meno projektai"</t>
  </si>
  <si>
    <t>2024 m. lapkričio 21 d. VSA tarybos sprendimo Nr. TS-186 "Kultūros ir meno projektų finansavimo Visagino savivaldybės biudžeto lėšomis tvarkos aprašo" 18.3 sritis " Muziejinės veiklos stiprinimas Visagino savivaldybėje"</t>
  </si>
  <si>
    <t>2020 m. liepos 17 d. VSA direktoriaus įsakymas Nr. ĮV-E-389 "Dėl kultūros rėmimo fondo lėšomis finansuojamų projektų, įgyvendinamų Visagino savivaldybėje, bendrafinansavimo tvarkos aprašo ir dokumentų formų patvirtinimo"</t>
  </si>
  <si>
    <t xml:space="preserve">VSA (Pastato - vaikų poliklinikos paskirties keitimo projekto iš gydymo į kultūros, kai atliekami statinio paprastojo remonto darbai (jeigu bus poreikis) atlikimas )
</t>
  </si>
  <si>
    <t xml:space="preserve">Autobusų stoties raidės ir užrašas </t>
  </si>
  <si>
    <t>Visagino savivaldybės administracija siekdama skatinti nevyriausybines organizacijas, asociacijas, labdaros ir paramos fondus, religines bendruomenes ir bendrijas, viešąsias įstaigas (išskyrus viešąsias įstaigas, kurių savininkė yra valstybė arba savivaldybė), kurių buveinė teisės aktų nustatyta tvarka Juridinių asmenų registre užregistruota ir veikla vykdoma Visagino savivaldybės teritorijoje, aktyviai dalyvauti projektinėje veikloje, viešo konkurso būdu skelbs ir finansuos nevyriausybinių organizacijų veiklą, skirtą gerinti neįgaliųjų, senyvo amžiaus asmenų socialinę integraciją, mažinti socialinę atskirtį ir skatins nevyriausybinių organizacijų bendradarbiavimą socialinių paslaugų plėtojimą, socialinių paslaugų kokybės gerinimo ir socialinės atskirties mažinimo srityje bei didins nevyriausybinio sektoriaus aktyvumą sprendžiant socialinius klausimus, stiprinant tarpusavio pagalbą ir tenkinant visuomenės poreikius. Šiuo metu Visagino savivaldybėje neteikiama (neužtikrinama) šeimos konferencijos paslauga, trūksta transporto, pritaikyto asmenų su negalia poreikiams, paslaugų.</t>
  </si>
  <si>
    <t>07.01.01.10. (PP-V)</t>
  </si>
  <si>
    <t>07.01.01.11. (PP-R)</t>
  </si>
  <si>
    <t>07.01.01.12. (PP-R)</t>
  </si>
  <si>
    <t>07.01.02.02 (PP-V)</t>
  </si>
  <si>
    <t>07.01.02.03 (PP-V)</t>
  </si>
  <si>
    <t>07.01.02.05 (PP-V)</t>
  </si>
  <si>
    <t>07.01.02.06 (PP-V)</t>
  </si>
  <si>
    <t xml:space="preserve">Projekto „Ambulatorinės slaugos paslaugas namuose, teikiančių mobilių komandų aprūpinimas įranga ir transporto priemonėmis“ įgyvendinimas </t>
  </si>
  <si>
    <t>07.01.02.07 (PP-V)</t>
  </si>
  <si>
    <t xml:space="preserve">Visagino savivaldybės 2024 m. aplinkos apsaugos rėmimo specialiosios programos biudžeto išlaidos (likučio lėšos) </t>
  </si>
  <si>
    <t>Lengvatas už 
maitinimą gaunančių mokinių skaičius</t>
  </si>
  <si>
    <t>Nemokamą maitinimą gaunančių 
mokinių skaičius</t>
  </si>
  <si>
    <t>Prama reikmenims įsigyti 
gaunančių mokinių skaičiu</t>
  </si>
  <si>
    <t>Seminarai, mokymai, konferencijos, VIP narystės pedagogas.lt platformoje</t>
  </si>
  <si>
    <t>Ąžuoliukas</t>
  </si>
  <si>
    <t xml:space="preserve">Vaikai, kuriems suteiktos švietimo paslaugos/sudarytų sutačių kiekis </t>
  </si>
  <si>
    <t>828/1407</t>
  </si>
  <si>
    <t xml:space="preserve">jaunojo pedagogo klubas </t>
  </si>
  <si>
    <t xml:space="preserve">nesuderinta </t>
  </si>
  <si>
    <t>2024 m. - įdiegta 8 vnt.
2025 m. - planuojama įdiegti 15 vnt.
2026 m. planuojama įdiegti 15 vnt. 
2027 m. planuojama įdiegti 12 vnt. 
Viso 50 vnt. per 2024-2027 m. laikotarpį.</t>
  </si>
  <si>
    <t>Sutarties 2024-05-31 Nr. 5-246. Pontoninių tilto ir prieplaukos, vandens 
čiuožyklos konstrukcijų, esančių Visagino ežero paplūdimyje, remonto darbai 87604 eur</t>
  </si>
  <si>
    <t>Sportininkų, dalyvaujančių aukšto meistriškumo varžybose, skaičius</t>
  </si>
  <si>
    <t xml:space="preserve">Ne mažiau kaip 50 ugdytinių/sportininkų dalyvaujančių veikloje </t>
  </si>
  <si>
    <t>≥70</t>
  </si>
  <si>
    <t xml:space="preserve">Ne mažiau kaip 5 sportininkų grupės </t>
  </si>
  <si>
    <t>&gt;7</t>
  </si>
  <si>
    <t xml:space="preserve">Parengti ir patvirtinti strategiją </t>
  </si>
  <si>
    <t xml:space="preserve">Sukurti įstaigos interneto svetainę </t>
  </si>
  <si>
    <t xml:space="preserve">Organizacijų, kurių veikloje dalyvaujama skaičius </t>
  </si>
  <si>
    <t xml:space="preserve">Pasirašytų partnerystės sutarčių skaičius </t>
  </si>
  <si>
    <t xml:space="preserve">Mokymuose dalyvavusių asmenų skaičius </t>
  </si>
  <si>
    <t xml:space="preserve">Asmenų dalyvavusių varžybose skaičius </t>
  </si>
  <si>
    <t xml:space="preserve">Saugiam eksploatavimui pritaikytų patalpų skaičius </t>
  </si>
  <si>
    <t xml:space="preserve">≥1 </t>
  </si>
  <si>
    <t>≥2</t>
  </si>
  <si>
    <t>.5/6</t>
  </si>
  <si>
    <t xml:space="preserve">Įstaigos interneto svetainės vartotojų pasiekiamumas </t>
  </si>
  <si>
    <t xml:space="preserve">Įstaigos socialinių tinklų paskyrų vartotojų pasiekiamumas </t>
  </si>
  <si>
    <t xml:space="preserve">Viešoji įstaiga Visagino plaukimo centras </t>
  </si>
  <si>
    <t xml:space="preserve">25 proc. </t>
  </si>
  <si>
    <t>28 proc.</t>
  </si>
  <si>
    <t>25 proc.</t>
  </si>
  <si>
    <t>Pasibaigus užimtumo didinimo programoms, po 6 mėnesių dirbs arba vykdys savarankišką veiklą asmenų dalis iš užimtumo didinimo programų dalyvių skaičiaus, procentai</t>
  </si>
  <si>
    <t xml:space="preserve">17,71 (2024) </t>
  </si>
  <si>
    <t>1 (2030)</t>
  </si>
  <si>
    <t>20 (2024)</t>
  </si>
  <si>
    <t>45 (2026)</t>
  </si>
  <si>
    <t>3 (2024)</t>
  </si>
  <si>
    <t>2 (2024)</t>
  </si>
  <si>
    <t>0 (2024) * pradėjo savanoriauti tik rudenį</t>
  </si>
  <si>
    <t>90 (2024)</t>
  </si>
  <si>
    <t xml:space="preserve">12,68 (2024)  </t>
  </si>
  <si>
    <t>7 (2024)</t>
  </si>
  <si>
    <t>19 587 (2024)</t>
  </si>
  <si>
    <t>19 404 (2022)</t>
  </si>
  <si>
    <t>542,46 (2023)</t>
  </si>
  <si>
    <t>Investicijų pritraukimo ir verslumo skatinimo institucinės ekosistemos sukūrimas Visagino, Ignalinos ir Zarasų funkcinėje zonoje (VIZA funkcinės zonos strategijos įgyvendinimas)</t>
  </si>
  <si>
    <t xml:space="preserve">Savivaldybės viešųjų pastatų, taikant energijos išteklių panaudojimo efektyvumo didinimo priemones, modernizavimas (Parko g. 14, Taikos pr. 23) </t>
  </si>
  <si>
    <t xml:space="preserve">Asmenų, pasinaudojusių naujai 
sukurtomis viešojo transporto paslaugomis, proc. per mėnesį  nuo bendro gyventojų skaičiaus </t>
  </si>
  <si>
    <t>0,5 (2024)</t>
  </si>
  <si>
    <t xml:space="preserve">Finansuotų ir įgyvendintų projektų (SB,VB, ES fondų, programų lėšomis) skaičius
</t>
  </si>
  <si>
    <t xml:space="preserve">Įgyvendinant šią priemonę bus užtikrinamas Lietuvos Respublikos vietos savivaldos įstatymo 12 straipsnis, kuris numato, kad savivaldybės tarybos nariams už darbą atliekant savivaldybės tarybos nario pareigas yra atlyginama (apmokama).  </t>
  </si>
  <si>
    <t xml:space="preserve">Lietuvos Respublikos vietos savivaldos įstatymo 7 straipsnio 9 punkto įgyvendinimo užtikrinimas. </t>
  </si>
  <si>
    <t xml:space="preserve">Įgyvendinant šią priemonę planuojama tinkamai valdyti ir administruoti savivaldybės turtą, išlaikyti savivaldybės pastatus, gyvenamąsias ir negyvenamąsias patalpas. Taip pat įgyvendinant šią priemonę bus vykdoma savivaldybės administracijos patikėjimo teise valdomų statinių ir bendrojo naudojimo inžinerinių tinklų techninė priežiūra pagal statybos techninio reglamento STR 1.03.07:2017 „Statinių techninės ir naudojimo priežiūros tvarka. Naujų nekilnojamojo turto kadastro objektų formavimo tvarka“ reikalavimus bei užtikrinta Visagino savivaldybės administracijos valdomų pastatų šilumos sistemų ir šilumos punktų priežiūra bei remontas  pagal Šilumos tinklų ir šilumos vartojimo įrenginių priežiūros (eksploatavimo) taisyklių reikalavimus. </t>
  </si>
  <si>
    <t xml:space="preserve">Tinkamai administruojamas savivaldybės turtas </t>
  </si>
  <si>
    <t xml:space="preserve">Įvykdytų (įgyvendinamų) ir planuotų vykdyti  Visagino savivaldybės korupcijos prevencijos 2025-2027 metų veiksmų plano priemonių santykis </t>
  </si>
  <si>
    <t xml:space="preserve">2024-12-13 sutartis Nr. 5-563 UAB "LEXITA" . Paslaugos turi būti suteiktos per 6 mėn. </t>
  </si>
  <si>
    <t xml:space="preserve">Savivaldybės mažosios posėdžių salės remonto darbai </t>
  </si>
  <si>
    <t>Vietų darbuotojams sukūrimas</t>
  </si>
  <si>
    <t xml:space="preserve">Savivaldybės didžiosios posėdžių salės remonto darbai </t>
  </si>
  <si>
    <t xml:space="preserve">Dokumentų valdymo sistemos "Kontora"  modernizavimas </t>
  </si>
  <si>
    <t xml:space="preserve">Atostogų vadovų personalo  modelio įdiegimo paslaugų įsigijimas </t>
  </si>
  <si>
    <t xml:space="preserve">Turto inventorizacijos ir turto valdymo modulio įdiegimo paslaugų įsigijimas </t>
  </si>
  <si>
    <t xml:space="preserve">Administracijos personalo motyvavimo programos ir atostogų modulio įsigijimas </t>
  </si>
  <si>
    <t>01.02.02.02. -2</t>
  </si>
  <si>
    <r>
      <rPr>
        <i/>
        <strike/>
        <sz val="9"/>
        <rFont val="Arial"/>
        <family val="2"/>
      </rPr>
      <t xml:space="preserve">Garso įrangos sutvarkymas </t>
    </r>
    <r>
      <rPr>
        <i/>
        <sz val="9"/>
        <rFont val="Arial"/>
        <family val="2"/>
      </rPr>
      <t xml:space="preserve"> </t>
    </r>
    <r>
      <rPr>
        <i/>
        <sz val="9"/>
        <color rgb="FFFF0000"/>
        <rFont val="Arial"/>
        <family val="2"/>
      </rPr>
      <t>(kondicionavimo įrangos darbai)</t>
    </r>
  </si>
  <si>
    <t>Įgyvendinti Visagino savivaldybės 
korupcijos prevencijos 2025-2027 metų veiksmų planą</t>
  </si>
  <si>
    <t>Duomenų apsaugos pareigūno teikimo sutartis Nr. 5-377. Bendra vertė 36 mėn. 20361,24</t>
  </si>
  <si>
    <t xml:space="preserve">Bendrosios civilinės atsakomybės draudimo paslaugų sutartis Nr. 5-488. Galioja iki 2025-12-31. Pradinė vertė 30250 eur. </t>
  </si>
  <si>
    <t>Įgyvendinant šią priemonę planuojama vykdyti ES bendrajame duomenų apsaugos reglamente numatytas funkcijas. Tam tikslui pasirašyta duomenų apsaugos pareigūno paslaugų sutartis. 
Taip pat užtikrinamas  biudžetinių įstaigų bendrosios civilinės atsakomybės draudimo sutartinių įsipareigojimų vykdymas.</t>
  </si>
  <si>
    <t>R-01-02-02-02-1</t>
  </si>
  <si>
    <t>Sukurtų kapinių informacinių sistemų skaičius</t>
  </si>
  <si>
    <t xml:space="preserve">Siekiant supaprastinti gyventojų aptarnavimo procesus planuojama  diegti automatizuotą  gyventojų priėmimo viename langelyje prašymų formą. Efektyvus atskirų viešųjų paslaugų skaitmenizavimas leis pereiti prie vieningos paslaugų sistemos, kuri užtikrins patogumą vartotojams, sutrumpins paslaugos suteikimo laiką, paslauga taps individualizuota, atsižvelgiant į socialiai pažeidžiamų visuomenės grupių poreikius, prieinama vartotojui patogiausiu būdu ir laiku ir vienoje vietoje. </t>
  </si>
  <si>
    <t>R-01-02-02-02-2</t>
  </si>
  <si>
    <t>Visagino savivaldybės 2024 metų konsoliduotųjų ataskaitų rinkinio, savivaldybės lėšų ir turto naudojimo, savivaldybės rinkliavų veiklos ir viešojo sektoriaus subjekto/įmonės veiklos auditai</t>
  </si>
  <si>
    <t>LT kalba - 43,8, matematika - 28</t>
  </si>
  <si>
    <t xml:space="preserve">Lietuvos Respublikos vietos savivaldos įstatymo 7 straipsnio 14 punkto įgyvendinimas. </t>
  </si>
  <si>
    <t>Priedangų atsparumo stiprinimas ir pritaikymas riboto judumo asmenims (naujas)</t>
  </si>
  <si>
    <t>Bunkerio salės (pastato Nr. 11) atnaujinimas</t>
  </si>
  <si>
    <t>Nuotekų siurblinių NS-1, NS-2  modernizavimo darbai įrengiant reguliavimo armatūrą ir integruojant jos darbą į esamą sistemą, vnt.</t>
  </si>
  <si>
    <t>Nuotekų surinkimo siurblinių  įrangos atnaujinimas, kompl.</t>
  </si>
  <si>
    <t>Įgyvendinant šią priemonę planuojama vykdyti įprastines nekilnojamojo turto registracijos procedūras, turto kadastrinius matavimus ir turto vertinimą pagal poreikį arba siekiant išnuomoti ar parduoti jį investuotojams.</t>
  </si>
  <si>
    <t>Įgyvendinamų,  ES lėšomis  finansuojamų projektų, skaičius</t>
  </si>
  <si>
    <t xml:space="preserve">Projektinėmis lėšomis naujai įsigytos įrangos skaičius </t>
  </si>
  <si>
    <t>Organizuoti skyriuje papildomai 1 palatą</t>
  </si>
  <si>
    <t>Plėtoti įstaigos  infrastruktūrą  ir gerinti sveikatos priežiūros paslaugų kokybę ir į pacientą orientuotą sveikatos priežiūrą (Dienos stacionaro patalpų atnaujinimas ir paslaugų apimties didinimas, palyginant su 2023 metų rezultatais)</t>
  </si>
  <si>
    <t>2027 metais 
siekti atlikti ne mažiau 2 pacientų apklausų ir 1 darbuotojų apklausą.</t>
  </si>
  <si>
    <t>Kvalifikacijos kėlimas ne mažiau nei 
17 % įstaigos personalo</t>
  </si>
  <si>
    <t>9298476 Eur</t>
  </si>
  <si>
    <t>10228323 Eur</t>
  </si>
  <si>
    <t>11251156 Eur</t>
  </si>
  <si>
    <t>30000 Eur</t>
  </si>
  <si>
    <t>45000 Eur</t>
  </si>
  <si>
    <t>12000 Eur</t>
  </si>
  <si>
    <t>15000 Eur</t>
  </si>
  <si>
    <t>17000 Eur</t>
  </si>
  <si>
    <t>19000 Eur</t>
  </si>
  <si>
    <t xml:space="preserve">3000 Eur </t>
  </si>
  <si>
    <t xml:space="preserve">3500 Eur </t>
  </si>
  <si>
    <t xml:space="preserve">4000 Eur </t>
  </si>
  <si>
    <t>46500 Eur</t>
  </si>
  <si>
    <t>Įstaigos funkcijų vykdymo išlaidos. Planuojamas naujos įrangos įsigijimui ir  naudojamos įrangos remontui planuojamos lėšos</t>
  </si>
  <si>
    <t>85074 Eur</t>
  </si>
  <si>
    <t>Naujos įrangos įsigijimas</t>
  </si>
  <si>
    <t>Hemodializės skyriaus projekto parengimas ir kapitalinis remontas</t>
  </si>
  <si>
    <t>316300  Eur</t>
  </si>
  <si>
    <t>Rodiklio reikšmė
2024</t>
  </si>
  <si>
    <t>Rodiklio reikšmė
2025</t>
  </si>
  <si>
    <t>Rodiklio reikšmė
2026</t>
  </si>
  <si>
    <t>Rodiklio reikšmė
2027</t>
  </si>
  <si>
    <t>Visagino savivaldybės švietimo stebėsenos rodiklių sąrašas,  patvirtintas 2022-03-14 Visagino savivaldybės administracijos direktoriaus įsakymu Nr. ĮV-E-123 "Dėl Visagino savivaldybės švietimo stebėsenos rodiklių sąrašo patvirtinimo"</t>
  </si>
  <si>
    <t xml:space="preserve">Veikiančių nevyriausybinių ir 
bendruomeninių organizacijų skaičius </t>
  </si>
  <si>
    <t>12,68</t>
  </si>
  <si>
    <t xml:space="preserve">05.04.01.03. (TP)
(nauja priemonė) </t>
  </si>
  <si>
    <t>Įgyvendinant priemonę bus įgyvendinamos Lietuvos Respublikos užsienio reikalų ministro  2021 m. gruodžio 27 d. įsakymu Nr. V-550 "Dėl Lietuvos diasporos politikos strateginių gairių „Globali Lietuva“ 2022‒2030 m. patvirtinimo", patvirtintos Lietuvos diasporos politikos strateginių gairių „Globali Lietuva“ 2022‒2030 m." nuostatos, o numatytos įgyvendinti priemonės bus įtrauktos į Lietuvos diasporos politikos strateginių gairių „Globali Lietuva“ 2022‒2030 m. įgyvendinimo veiksmų planą 2025–2027 m.</t>
  </si>
  <si>
    <t xml:space="preserve">2024-12-13 Visagino savivaldybės administracija ir Socialinių paslaugų priežiūros departamentas prie Socialinės apsaugos ir darbo ministerijos pasirašė sutartį (Nr. 5-562) dėl projekto "Užsienio kilmės Lietuvos gyventojų integracijos procesų koordinavimo plėtra Lietuvos Respublikos savivaldybėse" įgyvendinimo bei mero potvarkiu VšĮ VEPA buvo paskirta atsakinga už užsienio kilmės Lietuvos gyventojų integracijos koordinavimą Visagino savivaldybėje. Projekto veiklų įgyvendinimo pabaiga 2028-12-31. 
Bendra projekto vertė tenkanti Visagino savivaldybės administracijai 114348,86 Eur. </t>
  </si>
  <si>
    <t>Šiam uždaviniui įgyvendinti numatoma konkurso tvarka remti Visagino savivaldybėje registruotų ir savivaldybėje veiklą vykdančių nevyriausybinių organizacijų ir tautinių mažumų kultūros projektus. Projektų konkursų finansavimo sąlygų aprašas patvirtintas 2020 m. rugsėjo 24 d. Visagino savivaldybės tarybos sprendimu Nr. TS-210 „Dėl Visagino savivaldybės nevyriausybinių organizacijų projektų atrankos ir finansavimo savivaldybės biudžeto lėšomis tvarkos aprašo patvirtinimo“ bei 2024 m. balandžio 24 d. Visagino savivaldybės mero potvarkiu Nr. PV-E-236 „Dėl Visagino savivaldybės tautinių mažumų kultūros projektų finansavimo tvarkos aprašo patvirtinimo“. 
Taip pat įgyvendinant šią priemonę konkurso būdu finansuojamos bendruomeninės veiklos, kurių  tikslas – skatinti gyvenamųjų vietovių bendruomenių savarankiškumą tenkinant socialinius jų narių (gyventojų) poreikius, stiprinti narių (gyventojų) sutelktumą ir tarpusavio pasitikėjimą ir kitą  bendruomeninę veiklą. Projektai finansuojami  LR socialinės apsaugos ir darbo ministerijos nustatyta tvarka.</t>
  </si>
  <si>
    <t xml:space="preserve">2024 m. finansuotos 4 tautinių mažumų NVO (4000 Eur) ir 8 NVO (11000). 
Pagal projektų finansavimo tvarkos aprašą, padidinus vienam projektui galimą gauti maksimalią sumą iki 3000 Eur, 2025 m. planuojama finansuoti ne mažiau kaip 10 NVO </t>
  </si>
  <si>
    <t xml:space="preserve">2023-08-25 Visagino savivaldybės tarybos sprendimo Nr. TS-157 "Dėl pritarimo Visagino miesto 2024-2029 metų vietos plėtros strategijos projektui"  įgyvendinimas 2025m. </t>
  </si>
  <si>
    <t>22</t>
  </si>
  <si>
    <t>Viešosios tvarkos ir gyventojų saugumo užtikrinimas  
(pakeistas priemonės pavadinimas)</t>
  </si>
  <si>
    <t>Butų-patalpų, pastatų esančių Visagine, išpirkimas iš savininkų neskelbiamų derybų būdu
(pakoreguotas priemonės pavadinimas)</t>
  </si>
  <si>
    <t>pagal poreikį</t>
  </si>
  <si>
    <t>1154</t>
  </si>
  <si>
    <t>1100</t>
  </si>
  <si>
    <t xml:space="preserve">2025-2027 m. strateginio veiklos plano poreikis 2025 m. pagal finansavimo šaltinius  ir funkcijas </t>
  </si>
  <si>
    <t>17,71</t>
  </si>
  <si>
    <t>Įgyvendinant šią priemonę bus siekiama skatinti smulkiojo ir vidutinio verslo plėtrą savivaldybėje, remti smulkiojo ir vidutinio verslo, ekonominę veiklą vykdančius subjektus, jų iniciatyvas ir projektus bei sudaryti palankias sąlygas kurti naujas darbo vietas savivaldybės teritorijoje. 
Priemonės finansavimas vykdomas pagal metiniame savivaldybės biudžete numatytas lėšas priemonei finansuoti. Priemonės finansavimas ir atskaitomybė vykdomi vadovaujantis Visagino savivaldybės smulkiojo ir vidutinio verslo plėtros skatinimo priemonės įgyvendinimo tvarkos aprašu.</t>
  </si>
  <si>
    <t xml:space="preserve">Įgyvendinant priemonę pagal poreikį bus rengiami investicijų planai. </t>
  </si>
  <si>
    <t xml:space="preserve">Įgyvendinat šią priemonę bus įgyvendinamas 2020 m. gruodžio 22 d. Visagino savivaldybės tarybos sprendimas Nr. TS-275 „Dėl Utenos regiono plėtros tarybos steigimo“. </t>
  </si>
  <si>
    <t xml:space="preserve">Pritrauktų naujų inovacijų klasterio narių skaičius/organizuotų renginių skaičius </t>
  </si>
  <si>
    <t>4/10</t>
  </si>
  <si>
    <t>5/11</t>
  </si>
  <si>
    <t>6/12</t>
  </si>
  <si>
    <t>Išpirktų turto vienetų skaičius</t>
  </si>
  <si>
    <t>Dalyvaujamojo biudžeto Projektų konkursų finansavimo sąlygų aprašas patvirtintas 2022 m. rugsėjo 29 d. Visagino savivaldybės tarybos sprendimu Nr. TS-171 „Dėl Visagino gyventojų iniciatyva teikiamų projektų, skirtų gyvenamajai aplinkai gerinti, idėjų atrankos ir finansavimo tvarkos aprašo patvirtinimo“. 2024 m.  vyko projektinių idėjų atranka ir ir buvo atrinktos 2 daugiausiai gyventojų balsų surinkę projektinės idėjos, kurias planuojama įgyvendinti 2025 m.: 
1. „Mamos ir vaiko sūpynės“ – surinko 33 gyventojų balsus.
2. „Vienvietės lauko sūpynės vaikams su judėjimo sutrikimais" – surinko 9 gyventojų balsus.</t>
  </si>
  <si>
    <t>2024-06-20 Visagino savivaldybės taryboss prendimu Nr. TS-115 "Dėl Gaisrų prevencijos Visagino savivaldybėje 2024–2026 metų programos patvirtinimo, patvirtinta Gaisrų prevencijos Visagino savivaldybėje 2024–2026 metų programa.  2025 m. numatoma  platinti socialinę reklamą gaisrinės saugos tematika, rengti gaisrinės saugos akciją „Būk saugus, mokiny!“, rengti mokomąsias evakuacijos pratybas ir kitas. Iš viso per 2025 m. numatoma įgyvendinti 10 priemonių.</t>
  </si>
  <si>
    <t>11</t>
  </si>
  <si>
    <t xml:space="preserve">Esant poreikiui planuojama įsigyti apleistus pastatus, butus-patalpas pagal poreikį. </t>
  </si>
  <si>
    <t xml:space="preserve"> Administracija</t>
  </si>
  <si>
    <t>Socialinių paslaugų, dėl kurių sudarytos finansavimo sutartys, teikimo organizavimo užtikrinimas 
(priemonės pavadinimas pakoreguotas)</t>
  </si>
  <si>
    <t>Ne savivaldybės pavaldumo socialinių paslaugų įstaigomis ir akredituotus socialinių paslaugų teikėjus (įstaigas ir fizinius asmenis)  sudarant  finansavimo sutartis apmokamos socialinės globos asmenims be sunkios negalios išlaidos ir apmokama už akredituotų socialinės priežiūros, laikino atokvėpio paslaugų teikimą</t>
  </si>
  <si>
    <r>
      <t>Asmenų,</t>
    </r>
    <r>
      <rPr>
        <strike/>
        <sz val="9"/>
        <rFont val="Arial"/>
        <family val="2"/>
      </rPr>
      <t xml:space="preserve"> </t>
    </r>
    <r>
      <rPr>
        <sz val="9"/>
        <rFont val="Arial"/>
        <family val="2"/>
      </rPr>
      <t>kuriems sudarytos socialinių paslaugų finansavimo sutartys, skaičius</t>
    </r>
  </si>
  <si>
    <t>06.01.03.04.-1</t>
  </si>
  <si>
    <t>6196 (2024)</t>
  </si>
  <si>
    <t>56 (2024)</t>
  </si>
  <si>
    <t>1478 (2024)</t>
  </si>
  <si>
    <t>7000 Nijoles knygos</t>
  </si>
  <si>
    <t>84 (2024)</t>
  </si>
  <si>
    <t>0 (2024)</t>
  </si>
  <si>
    <t>0,864 (2024)</t>
  </si>
  <si>
    <t>0,376 (2024)</t>
  </si>
  <si>
    <t>~8000 (2024)</t>
  </si>
  <si>
    <t>96,51 t (2023)</t>
  </si>
  <si>
    <t>2025 metais planuojama atlikti: 1) Įrengti kameras Kosmoso g. 30 , 2) parengti projektą dėl atskirų turto vienetų suformavimo Festivalio g. 1, 3) suremontuoti bendrabučiuose Festivalio 1, 3 ir Kosmoso 30 10 patalpų</t>
  </si>
  <si>
    <t>30 (2024)</t>
  </si>
  <si>
    <t>8000 (2030)</t>
  </si>
  <si>
    <t>49,6 (2022)</t>
  </si>
  <si>
    <t>34,4 (2024)</t>
  </si>
  <si>
    <t>900 (2024)</t>
  </si>
  <si>
    <t>Neįgaliųjų asmenų poilsiui užtikrinti reikalingos aplinkos sukūrimas
((priemonės pavadinimas pakoreguotas)</t>
  </si>
  <si>
    <t>Neįgaliųjų asmenų poilsiui užtikrinti  sukurtos infrastruktūros skaičius</t>
  </si>
  <si>
    <t xml:space="preserve">2.5.1.5. </t>
  </si>
  <si>
    <t>06.01.03.12. (PP)-R</t>
  </si>
  <si>
    <t xml:space="preserve">Projekto "Bendrabučio tipo pastato, esančio Kosmoso g. 28 Visagine, patalpų pritaikymas socialinio būsto įrengimui-II etapas " įgyvendinimas </t>
  </si>
  <si>
    <t>06.02.01.02. (PP)-R</t>
  </si>
  <si>
    <t xml:space="preserve">Projekto„Vaikų raidos ir elgesio sutrikimų kompleksinės pagalbos ir paslaugų šeimai centro įkūrimas " įgyvendinimas </t>
  </si>
  <si>
    <t>Projektą planuojama įgyvendinti 2021-2027 m. Europos Sąjungos investicijų programos lėšomis. Planuojama įkurti centrą, padėsiantį ugdyti vaikus nuo gimimo iki 14 metų, turinčius raidos bei mokymosi sutrikimų, taikant naujausius metodus padėti vaikams išmokti naujų socialiai svarbių elgesio formų, padidinti pageidaujamą elgesį, sumažinti ar visai panaikinti nepageidaujamas elgesio formas, teikti konsultacijas tėvams, auginantiems specialiųjų poreikių vaikus.  2025 m. bus teikiama paraiška projekto finansavimui gauti</t>
  </si>
  <si>
    <t>Projekto "Integralios pagalbos namuose tiekimas ir plėtra Visagino savivaldybėje" įgyvendinimas</t>
  </si>
  <si>
    <t>06.02.01.09. (PP)-R</t>
  </si>
  <si>
    <t xml:space="preserve">Projekto „Nestacionarių socialinių paslaugų, didinančių senyvo amžiaus asmenų gerovę, plėtra Visagino savivaldybėje" įgyvendinimas </t>
  </si>
  <si>
    <t xml:space="preserve">Projektą planuojama įgyvendinti 2021-2027 m. Europos Sąjungos investicijų programos lėšomis. Projekto metu planuojama modernizuoti Visagino socialinių paslaugų centro Bendruomenės skyriaus (SPK 18.7 p.), esančio adresų Vilties g. 1, Visagine, patalpas ir jas pritaikyti Visagino bendruomenės užimtumui, socialinei integracijai, vystyti ir teikti bendruomenės centro,  dienos centro senyvo amžiaus asmenims paslaugas. Planuojama, kad 2025 m. bus teikiama paraiška projekto finansavimui gauti. 
</t>
  </si>
  <si>
    <t xml:space="preserve">Transporto paslaugoms </t>
  </si>
  <si>
    <t xml:space="preserve">Šeimos konferencijos paslaugoms (bus perkama viešo konkurso būdu) </t>
  </si>
  <si>
    <r>
      <t>Savivaldybėje trūkstamų socialinių paslaugų poreikio užtikrinimas finansuojant nevyriausybinių organizacijų projektinę veiklą bei perkant socialines paslaugas
(</t>
    </r>
    <r>
      <rPr>
        <sz val="9"/>
        <rFont val="Arial"/>
        <family val="2"/>
      </rPr>
      <t>pakoreguotas priemonės pavadinimas</t>
    </r>
    <r>
      <rPr>
        <b/>
        <sz val="9"/>
        <rFont val="Arial"/>
        <family val="2"/>
      </rPr>
      <t xml:space="preserve">) </t>
    </r>
  </si>
  <si>
    <t>06.02.01.13. (PP)-R</t>
  </si>
  <si>
    <t xml:space="preserve">Projekto „Specialiųjų poreikių turinčių asmenų gerovės kūrimas ir įtrauktis į socialinę ir ekonominę Visagino savivaldybės raidą (SADM žemėlapis)" įgyvendinimas 
</t>
  </si>
  <si>
    <t xml:space="preserve">2024-07-09 pasirašyta projekto „Specialiųjų poreikių turinčių asmenų gerovės kūrimas ir įtrauktis į socialinę ir ekonominę Visagino savivaldybės raidą“ Nr. 29-405-p-0001 sutartis Nr. 5-325. Projekto veiklomis  siekiama sukurti naujas paslaugas asmenims, turintiems intelekto ir (ar) psichikos negalią:
-	įkurti dienos centrą (su socialinėmis dirbtuvėmis), asmenims, turintiems intelekto ir (ar) psichikos negalią. Planuojama teikti dienos centro paslaugas, kurio bazėje bus įkurtos socialinės dirbtuvės;
-	įkurti grupinio gyvenimo namus (ne mažiau 10 vietų); 
- organizuoti apsaugoto būsto paslaugas;
- užtikrinti pagalbos organizavimą atvejo vadybos principu asmenims, turintiems specialiųjų poreikių, ir asmenims, kuriems specialieji poreikiai dėl ligos ar įgūdžių stokos nenustatyti, bet  jie yra patekę į socialinę atskirtį; 
-	organizuoti darbuotojų, dirbančių su tiksline grupe, kvalifikacijos tobulinimas ir praktinės stažuotės.
Bendra projekto vertė 2153598,95 Eur, iš jų 1794094,25 Eur ES lėšos, 359504,70 savivaldybės biudžeto lėšos. Projekto veiklų įgyvendinimo pabaiga 2027-03. </t>
  </si>
  <si>
    <t xml:space="preserve">Projektą planuojama įgyvendinti 2021-2027 m. Europos Sąjungos investicijų programos lėšomis. Projekto tikslas – Visagino socialinių paslaugų centro Socialinės globos senyvo amžiaus žmonėms ir suaugusiems asmenims su negalia skyriaus infrastruktūros modernizavimas ir plėtra, siekiant pagerinti senyvo amžiaus gyventojų socialinės globos paslaugų kokybę.
Projekto veiklos:
1 aukšto patalpų remontas (atliktų remonto darbų išlaidų kompensavimas);  
2. Bendrų užimtumo erdvių įrengimas - uždaros terasos statyba (Statybos darbai, įrangos ir baldų įsigijimas). Projekto įgyvendinimo metu planuojama prie esančio pastato pastatyti ir įrengti įranga ir baldais uždarą lauko terasą apie 120 kv.m., pritaikytą naudoti šaltuoju sezono metu; 3. Bendrų užimtumo erdvių įrengimas - sensorinės erdvės įrengimas (baldų ir įrangos įsigijimas); 4. Transporto priemonė (elektra varomo mikroautobuso įsigijimas). 
2025 m. planuojama pasirašyti projekto finansavimo sutartį ir pradėti veiklų įgyvendinimą. </t>
  </si>
  <si>
    <t>Asmenų, kuriems taikyta atvejo vadyba, skaičius</t>
  </si>
  <si>
    <t xml:space="preserve">Visagino socialinių paslaugų centras įgyvendindamas Integralios pagalbos plėtros 2022-2029 metų veiksmų plano, patvirtinto Lietuvos Respublikos socialinės apsaugos ir darbo ministro 2022 m. rugpjūčio 24 d. įsakymu Nr. A1-552 „Dėl Integralios pagalbos plėtros 2022-2029 metų veiksmų plano patvirtinimo“, nuostatas 2025 metais teiks integralios pagalbos paslaugas Visagino savivaldybėje. Šios paslaugos sudaro palankias sąlygas neįgaliems vaikams, neįgaliems darbingo amžiaus asmenims, senyvo amžiaus asmenims kuo ilgiau gyventi sau artimoje aplinkoje – namuose bei siekiant padėti suaugusiems šeimos nariams, prižiūrintiems savo artimuosius, derinti šeimos ir darbo įsipareigojimus. </t>
  </si>
  <si>
    <t>232,7</t>
  </si>
  <si>
    <t>Įgyvendinant priemonę bus siekiama stabdyti ir mažinti neteisėtą narkotikų, alkoholio ir tabako vartojimą, jų paklausą ugdant neigiamą požiūrį į jį tarp vaikų ir jaunimo, šeimose, bendruomenėse ir visuomenėje, diegiant žmogaus gyvenimo reikšmės ir vertybinių nuostatų bei sveikos gyvensenos sampratą. Siekiama stiprinti savivaldybės institucijų ir įstaigų, verslo subjektų, visuomenės bendradarbiavimo ir koordinavimo narkotikų, alkoholio ir tabako vartojimo prevencijos ir kontrolės srityje. Įgyvendinant priemonę planuojama testavimo tyrimų atlikimas ugdymo įstaigose arba elektroninių kontrolės priemonių įrengimas siekiant užkardyti elektroninių cigarečių neteisėtą vartojimą</t>
  </si>
  <si>
    <t>58,8</t>
  </si>
  <si>
    <t xml:space="preserve">Mokinių dalis, kurie bent kartą rūkė elektronines cigaretes </t>
  </si>
  <si>
    <t>24,6</t>
  </si>
  <si>
    <t>23,5</t>
  </si>
  <si>
    <t>24,0</t>
  </si>
  <si>
    <t>5,1</t>
  </si>
  <si>
    <t xml:space="preserve">2024-09-04 CPVA ir Visagino savivaldybės administracija pasirašė projekto "Visagino savivaldybės sveikatos centro sveikatos priežiūros paslaugoms teikti reikiamos infrastruktūros modernizavimas“ Nr. 09-022-P-0024 sutartį. Projekto tikslas - bendradarbiaujant Visagino savivaldybėje veikiančioms sveikatos priežiūros įstaigoms užtikrinti savivaldybėje gyvenantiems pacientams prieinamas ir kokybiškas  sveikatos priežiūros paslaugas. Projekto veiklų įgyvendinimo pabaiga 2025-12-31. Bendra projekto įgyvendinimo vertė 870 668,98 Eur ES ir bendrojo finansavimo lėšų. Projekto partneriai VšĮ Visagino ligoninė ir VšĮ Visagino pirminės sveikatos priežiūros centras. 
</t>
  </si>
  <si>
    <t>Naujos arba modernizuotos sveikatos priežiūros infrastruktūros talpumas</t>
  </si>
  <si>
    <t>Naujos arba modernizuotos sveikatos priežiūros infrastruktūros talpumas (Antrinio )</t>
  </si>
  <si>
    <t>Naujos arba modernizuotos sveikatos priežiūros infrastruktūros talpumas (Pirminio)</t>
  </si>
  <si>
    <t>12486</t>
  </si>
  <si>
    <t>62084</t>
  </si>
  <si>
    <t>Naujos arba modernizuotos sveikatos priežiūros infrastruktūros naudotojų skaičius per metus</t>
  </si>
  <si>
    <t>Naujos arba modernizuotos sveikatos priežiūros infrastruktūros naudotojų skaičius per metus (Pirminio)</t>
  </si>
  <si>
    <t>Naujos arba modernizuotos sveikatos priežiūros infrastruktūros naudotojų skaičius per  (Antrinio)metus</t>
  </si>
  <si>
    <t>51497</t>
  </si>
  <si>
    <t>8890</t>
  </si>
  <si>
    <t>Asmenų, po dalyvavimo veiklose pagerinusių sveikatos raštingumo kompetenciją, dalis (proc.);</t>
  </si>
  <si>
    <t>Asmenų, palankiai vertinančių visuomenės sveikatos priežiūros paslaugų kokybę, dalis (proc.).</t>
  </si>
  <si>
    <t>Paramą gavusių nacionalinio, regionų ar vietos lygmens viešojo administravimo ar viešąsias paslaugas teikiančių įstaigų skaičius</t>
  </si>
  <si>
    <t xml:space="preserve">Projektą planuojama įgyvendinti 2021-2027 m. Europos Sąjungos investicijų programos lėšomis. Projekto veiklomis bus siekiama skatinti prevencines priemones, stiprinančias Visagino savivaldybės visuomenės sveikatą bei psichologinę gerovę ir atsparumą: integruoto visuomenės sveikatos priežiūros modelio, inovatyvių visuomenės sveikatos paslaugų sukūrimas ir įdiegimas, rizikos sveikatai veiksnių, lemiančių lėtinių neinfekcinių, užkrečiamųjų ligų, profesinių ligų plitimą bei naujai atsirandančių grėsmių ir iššūkių valdymo gerinimas, sveikatos raštingumo, visuomenės sveikatos  paslaugų prieinamumo ir kokybės tikslinėms grupėms didinimas. 2025 m. III bus teikiama paraiška projekto finansavimui gauti. Projekto tikslas – didinti gyventojų sveikatos raštingumą ir visuomenės sveiktos paslaugų prieinamumą bei mažinti sveikatos netolygumus Visagino savivaldybėje. 
Projekto metu bus organizuojamos įvairios veiklos tikslinių grupių atstovams. Veiklą sąlyginai bus galima suskaidytį į dvi kryptis / veiklas:
1. Prevencinių priemonių, stiprinančių visuomenės sveikatą bei psichologinę gerovę ir atsparumą, vykdymas: 
1.1. Fizinio aktyvumo įpročių formavimo priemonių vykdymas; 
1.2. Sveikos mitybos įpročių formavimo priemonių vykdymas; 
1.3. Psichologinę gerovę ir atsparumą stiprinančių priemonių vykdymas.
2. Priklausomybės ligų prevencijos priemonių vykdymas.
Projekto partneriai Lietuvos Raudonojo kryžiaus draugija (Visagino filialas ir Rokiškio rajono visuomenės sveikatos biuras). </t>
  </si>
  <si>
    <t>74</t>
  </si>
  <si>
    <t>Asmenys, gavę ilgalaikės priežiūros paslaugas</t>
  </si>
  <si>
    <t xml:space="preserve">Ilgalaikės priežiūros paslaugų gavėjų, palankiai vertinančių gaunamų paslaugų kokybę, dalis, </t>
  </si>
  <si>
    <t xml:space="preserve">Sveikatos priežiūros įstaigos, įgyvendinusios sveikatos priežiūros specialistų įgalinimo, pritraukimo ir išlaikymo projektus </t>
  </si>
  <si>
    <t xml:space="preserve">Sveikatos priežiūros specialistų, kurie po dalyvavimo veiklose mažiausiai 2 metus dirbo sveikatos priežiūros įstaigose, dalis, </t>
  </si>
  <si>
    <t>Šios priemonės įgyvendinimu bus užtikrintas Lietuvos Respublikos Vyriausybės 2022 m. lapkričio 30 d. nutarimas Nr. 1196 "Dėl pacientų pavėžėjimo paslaugų organizavimo ir teikimo tvarkos aprašo patvirtinimo".</t>
  </si>
  <si>
    <t>Projektą planuojama įgyvendinti 2021-2027 m. Europos Sąjungos investicijų programos lėšomis. Projekto tikslas - mobiliųjų komandų aprūpinimas darbui reikalinga įranga ir priemonių komplektais bei automobiliais, stacionarinių slaugos paslaugų žmonėms, sergantiems Alzheimerio liga, senatvine demencija, bei paliatyviosios pagalbos paslaugų infrastruktūros plėtojimui ir modernizavimui; tikslinių ilgalaikės priežiūros paslaugų diegimui, ypač demencijos ir Alzheimerio ligų srityse, ir plėtojimui savivaldybių lygmenyje asmenims, kurie negali pasirūpinti savimi.  2025 m. II ketvirtyje bus teikiama paraišką projekto finansavimui gauti.  Projekto pareiškėjas VŠĮ Visagino ligoninė, partneris VšĮ Pirminės sveikatos priežiūros centras.</t>
  </si>
  <si>
    <t xml:space="preserve">Projektas vykdomas įgyvendinant Lietuvos Respublikos sveikatos apsaugos ministro  2022 m. gegužės 20 d. įsakyme Nr. V-988 „Dėl 2022–2030 metų plėtros programos valdytojos Lietuvos Respublikos sveikatos apsaugos ministerijos sveikatos priežiūros kokybės ir efektyvumo didinimo plėtros programos pažangos priemonės Nr. 11-002-02-11-01 „Gerinti sveikatos priežiūros paslaugų kokybę ir prieinamumą“ aprašo patvirtinimo“ numatytas veiklas“.  Projektą įgyvendina VšĮ Visagino ligoninė. Projekto tikslas  – VšĮ Visagino ligoninės pasirengimo ekstremaliosioms situacijoms didinimas, atliekant kapitalinį Reanimacijos/intensyvios terapijos skyriaus patalpų remontą bei atnaujinant Reanimacijos / intensyvios terapijos skyriaus įrangą bei baldus. Bendra projekto tinkamų finansuoti išlaidų suma 2 935 605,93 Eur.  Projekto veiklų vykdymo pabaiga 2027-10-31. </t>
  </si>
  <si>
    <t xml:space="preserve">Naujos arba modernizuotos sveikatos priežiūros infrastruktūros naudotojų skaičius per metus  </t>
  </si>
  <si>
    <t>782</t>
  </si>
  <si>
    <r>
      <t>Projektą įgyvendinamas  2021-2027 m. Europos Sąjungos investicijų programos lėšomis. Projekto tikslas- užtikrinti efektyvesnį, kokybiškesnį psichiatrijos sveikatos paslaugų teikimą Visagino savivaldybėje.
Projekto uždaviniai:
- Suremontuoti ir įrengti Visagino PSPC II aukšto patalpas.
- Įsigyti psichikos sveikatos priežiūros paslaugų teikimui reikalingą įrangą ir baldus.
- Įsteigti 12 vietų dienos stacionarą Visagino PSPC.
-  Pagerinti psichikos sveikatos priežiūros paslaugų prieinamumą Visagino PSPC.  Projektą įgyvendina VšĮ Visagino pirminės sveikatos priežiūros</t>
    </r>
    <r>
      <rPr>
        <sz val="9"/>
        <color rgb="FFFF0000"/>
        <rFont val="Arial"/>
        <family val="2"/>
      </rPr>
      <t xml:space="preserve"> </t>
    </r>
    <r>
      <rPr>
        <sz val="9"/>
        <rFont val="Arial"/>
        <family val="2"/>
      </rPr>
      <t xml:space="preserve">centras. Bendra projekto tinkamų finansuoti išlaidų suma 151 807,43 Eur.  Projekto veiklų vykdymo pabaiga 2025-01-31. </t>
    </r>
  </si>
  <si>
    <t xml:space="preserve">Projekto „Sveikatos raštingumo ir visuomenės sveikatos paslaugų prieinamumo didinimas Visagino savivaldybėje" įgyvendinimas 
</t>
  </si>
  <si>
    <t xml:space="preserve">Sukurtų ilgalaikės priežiūros specialistų komandų, teikiančių paslaugas gyventojų namuose, skaičius </t>
  </si>
  <si>
    <t>Projektas vykdomas įgyvendinant Lietuvos Respublikos sveikatos apsaugos ministro  2022 m. gegužės 20 d. įsakyme Nr. V-988 „Dėl 2022–2030 metų plėtros programos valdytojos Lietuvos Respublikos sveikatos apsaugos ministerijos sveikatos priežiūros kokybės ir efektyvumo didinimo plėtros programos pažangos priemonės Nr. 11-002-02-11-01 „Gerinti sveikatos priežiūros paslaugų kokybę ir prieinamumą“ aprašo patvirtinimo“ numatytas veiklas“. Viena mobili komanda, teikianti ambulatorinės slaugos paslaugas namuose, bus aprūpinta reikiama įranga ir transporto priemone, skirta paslaugų teikimo užtikrinimui. Projekto tikslas - pagerinti UAB Sedulinos sveikatos centro teikiamų ASPN sveikatos priežiūros paslaugų kokybę ir prieinamumą Visagino savivaldybės gyventojams.  Bendra projekto įgyvendinimo vertė 72 999,41 Eur. Projekto veiklų įgyvendinimo pabaiga 2025-06-30.  Projekto partneris - UAB Sedulinos sveikatos centras.</t>
  </si>
  <si>
    <t xml:space="preserve">Sveikatos priežiūros įstaigos,
įgyvendinusios sveikatos priežiūros
specialistų įgalinimo,
pritraukimo ir išlaikymo projektus </t>
  </si>
  <si>
    <t xml:space="preserve">Specialistai, dalyvavę
kvalifikacijos tobulinimo ar
perkvalifikavimo veiklose (matavimo vnt. asmenys) </t>
  </si>
  <si>
    <t xml:space="preserve">Asmenys, dalyvavę
kvalifikacijos įgijimo veiklose (matavimo vnt. asmenys) </t>
  </si>
  <si>
    <t xml:space="preserve">Sveikatos Respublikos sveikatos apsaugos ministerija patvirtino  sveikatos priežiūros kokybės ir efektyvumo didinimo plėtros programos pažangos priemonės Nr. 11-002-02-11-01 „Gerinti sveikatos priežiūros paslaugų kokybę ir prieinamumą“ finansavimo sąlygų aprašą bei iki 2024 m. rugsėjo 30 d. savivaldybes buvo kviečiamos  teikti projektų įgyvendinimo planus. Pagal finansavimo sąlygų aprašą gali būti remiamos šios veiklos:
- sveikatos centro efektyvaus veiklos organizavimo ir įgyvendinimo užtikrinimas;
 - sveikatos centro paslaugų teikimą koordinuojančiosios asmens sveikatos priežiūros įstaigos, nurodytos sveikatos centro bendradarbiavimo sutartyje, funkcijų vykdymo užtikrinimas;
- efektyvių paslaugų teikimo modelių (metodų), gerinančių sveikatos priežiūros paslaugų kokybę ir prieinamumą pacientams, sergantiems viena ar keliomis lėtinėmis neinfekcinėmis ligomis;
-pacientų srautų valdymo ir (ar) paslaugų teikimo priemonių, kad konkrečiam pacientui būtų užtikrintas vientisas (taikant žaliojo koridoriaus principą) visų reikiamų sveikatos centro paslaugų sąrašo paslaugų suteikimas per kuo trumpesnius terminus, įgyvendinimas;
Maksimali projekto įgyvendinimo vertė - 276410 Eur, iš jų finansuojamąją  dalį  sudaro 100 proc. dotacija. Veiklos turi būti baigtos įgyvendinti iki 2029 m. spalio 1 d.  Projekto partneris - Visagino savivaldybės sveikatos centras. </t>
  </si>
  <si>
    <t xml:space="preserve">Sveikatos apsaugos ministerija parengė Sveikatos priežiūros specialistų pritraukimo ir išlaikymo veiksmų 2024–2029 metų planą. Plane numatytos tokios priemonės, kaip studijų kainos finansavimas, sveikatos priežiūros specialistų įgalinimo, pritraukimo ir išlaikymo sveikatos priežiūros įstaigoje modelio sukūrimas ir įdiegimas, labiausiai trūkstamų profesinių kvalifikacijų ir specializacijų prestižo didinimas, profesinis orientavimas ir kt. Įgyvendinant plane numatytas priemones, šalies savivaldybės gali pretenduoti į finansavimą tokioms veikloms:
-darbo užmokesčio priedo mokėjimą gydytojams rezidentams, gydytojams odontologams rezidentams, kurie rezidentūros studijų ciklus atliks rezidentūros bazėje, esančioje ne Vilniaus ir Kauno miesto savivaldybėse, ne trumpiau nei 6 mėn. (nepertraukiamai);
-gydytojų rezidentų, gydytojų odontologų rezidentų rezidentūros studijų, aukštųjų mokyklų studentų išplėstinės praktikos slaugos, odontologinės priežiūros studijų, slaugos specializacijų neformaliojo švietimo programų, profesinio mokymo įstaigų mokinių slaugytojo padėjėjo modulinės profesinio mokymo programos kainos finansavimui;
-vidaus ligų gydytojų antrosios profesinės kvalifikacijos įgijimo (persikvalifikavimo), baigiant trumpesnę šeimos medicinos arba skubiosios medicinos rezidentūros studijų programą, finansavimui; 
-stipendijų mokėjimui gydytojams rezidentams, gydytojams odontologams rezidentams, kurie mokosi tose rezidentūros studijų programose, į kurias sunkiausia pritraukti norinčius studijuoti (geriatrija, teismo medicina, vaikų odontologija), taip pat profesinio mokymo mokiniams (slaugytojo padėjėjo modulinė profesinio mokymo programa, paramediko modulinė profesinio mokymo programa), pirmosios pakopos studijų studentams (odontologinė priežiūra), antrosios pakopos studijų studentams (išplėstinės praktikos slauga);
-aukštųjų mokyklų studentų bendrosios praktikos slaugos, slaugos studijų kainos finansavimui;
-stipendijų skyrimui studijuojantiems pirmosios pakopos studijų studentams (bendrosios praktikos slauga, slauga).
Maksimali projekto įgyvendinimo vertė - 355111,34 Eur, iš jų finansuojamąją  dalį  sudaro 100 proc. dotacija. Projektas bus  įgyvendinamas su 3 partneriais (VšĮ Visagino ligoninė, VšĮ Visagino pirminės sveikatos priežiūros centras, UAB "Sedulinos centras"). Veiklos turi būti baigtos įgyvendinti iki 2029 m. rugpjūčio 31 d. </t>
  </si>
  <si>
    <t xml:space="preserve">Siekiant padidinti bendruomenėje teikiamų paslaugų 
dalį pereinant nuo institucinės globos prie bendruomeninių paslaugų, savivaldybėje įkurti Savarankiško gyvenimo namai. Nuo 2021 m. sausio mėnesio veikia Savarankiško gyvenimo namai, savivaldybė užtikrina šios įstaigos finansavimą. 2024 m. buvo tvarkomas įvažiavimas į teritoriją ir paviršinių lietaus nuotekų  sistema. Lėšos planuojamos darbų užbaigimui. </t>
  </si>
  <si>
    <t xml:space="preserve">K. Bagdanavičius </t>
  </si>
  <si>
    <t xml:space="preserve">Centralizuotas darbų saugos paslaugos pirkimas </t>
  </si>
  <si>
    <t xml:space="preserve">Priešgaisrinės  paslaugos pirkimas </t>
  </si>
  <si>
    <t>Visagino savivaldybėje veikiančių formaliojo ir neformaliojo švietimo įstaigų aukštesniųjų gebėjimų turinčių mokinių ir jų mokytojų skatinimas</t>
  </si>
  <si>
    <t>Jaunimo savanoriškos veiklos stiprinimas (pakoreguotas pavadinimas)</t>
  </si>
  <si>
    <t xml:space="preserve">Aplinkos tvarkymo  skyrius </t>
  </si>
  <si>
    <t>Biodegraduojančioms atliekoms</t>
  </si>
  <si>
    <t>Visagino, Ignalinos ir Zarasų rajonų savivaldybių funkcinės zonos  strategijos neinvesticinių veiksmų įgyvendinimas (pakoreguotas pavadinimas)</t>
  </si>
  <si>
    <t>Keleivių vežimo nuostolių padengimas, lengvatinis keleivių  vežimas bei autobusų stoties administravimas (pavadinimas pakoreguotas)</t>
  </si>
  <si>
    <t>80000+5000 žurn 312 kv.+15000 greičio mažinimo kalneliai+ 3000 ženklinimai+20000 asvaltavimas virš 300 kv. m+10000 projektavimui</t>
  </si>
  <si>
    <t>Įstaigos veikla (SB)</t>
  </si>
  <si>
    <t>50 (2024)</t>
  </si>
  <si>
    <t>75 (2030)</t>
  </si>
  <si>
    <t>20 (2023)</t>
  </si>
  <si>
    <t>69 (2023)</t>
  </si>
  <si>
    <t>83 (2024)</t>
  </si>
  <si>
    <t>3 (2023)</t>
  </si>
  <si>
    <t>1 (2023)</t>
  </si>
  <si>
    <t>82 (2024)</t>
  </si>
  <si>
    <t>3133 (2024)</t>
  </si>
  <si>
    <t>26 (2024)</t>
  </si>
  <si>
    <t>32 skaičius, 76 proc.</t>
  </si>
  <si>
    <t>33 skaičius, 80 proc.</t>
  </si>
  <si>
    <t>31 (2024) skaičius, 75,6 proc.</t>
  </si>
  <si>
    <t>Koncertai pakrantėje</t>
  </si>
  <si>
    <t>374,16  (2023)</t>
  </si>
  <si>
    <t>267,84  (2024)</t>
  </si>
  <si>
    <t>1  (2023)</t>
  </si>
  <si>
    <t>2  (2024)</t>
  </si>
  <si>
    <t>0  (2023)</t>
  </si>
  <si>
    <t>3  (2024)</t>
  </si>
  <si>
    <t>11,1  (2023)</t>
  </si>
  <si>
    <t>11,5  (2024)</t>
  </si>
  <si>
    <t>15 (2030)</t>
  </si>
  <si>
    <t>14  (2023)</t>
  </si>
  <si>
    <t>14  (2024)</t>
  </si>
  <si>
    <t>25  (2023)</t>
  </si>
  <si>
    <t>25  (2024)</t>
  </si>
  <si>
    <t>2 proc.</t>
  </si>
  <si>
    <t>Gerves ekspertizė</t>
  </si>
  <si>
    <t xml:space="preserve">Bangos salės projektavimas </t>
  </si>
  <si>
    <t>11 ( 2024)</t>
  </si>
  <si>
    <t>21  (2021)</t>
  </si>
  <si>
    <t>Ne mažiau kaip 26  (2030)</t>
  </si>
  <si>
    <t>Faktinė stebėsenos rodiklio reikšmė (2024)</t>
  </si>
  <si>
    <t xml:space="preserve">Projektas įgyvendinamas 2021-2027 m.  Europos Sąjungos investicijų programos lėšomis. 2024-03-29 pasirašyta projekto „Bendrabučio tipo pastato, esančio Kosmoso g. 28 Visagine, patalpų pritaikymas socialinio būsto įrengimui - II etapas“ Nr. 29-402-P-0001 finansavimo sutartis. Bendra projekto vertė 962734,71, iš jų  818031,58 Eur ES lėšos, 144703,13 Eur savivaldybės biudžeto lėšos . 
Projekto įgyvendinimo metu planuojama atlikti patalpų kapitalinį remontą, pritaikant socialiniams būstams 23 butus (1 fligelį), planuojamas plotas 1308,6 kv. m.  
Planuojama darbų pradžia 2025 m. III ketvirtis-darbų pabaiga 2026 m.
</t>
  </si>
  <si>
    <t>Vadovaujantis Visagino savivaldybės gyventojų mokėjimo už socialines paslaugas tvarkos aprašu, patvirtintu 2024 m. rugpjūčio 29 d. sprendimu Nr. TS-123, teikiamos budinčių ir nuolatinių globotojų paslaugos, finansuojamos savivaldybės biudžeto lėšomis, mokamos lėšos globojamų vaikų išlaikymui bei pagalbos pinigai. Atsakingas Visagino šeimos ir vaiko gerovės centras ir Visagino savivaldybės administracija.</t>
  </si>
  <si>
    <t>„Facebook“ 4997 tūkst. (2024)</t>
  </si>
  <si>
    <t>„YouTube“ 450 (2024)</t>
  </si>
  <si>
    <t>93 tūkst./ metus</t>
  </si>
  <si>
    <t>94 tūkst./ metus</t>
  </si>
  <si>
    <t>Interneto svetainės naudotojai 93 tūkst./ metus (2024)</t>
  </si>
  <si>
    <t>L (ĮP)</t>
  </si>
  <si>
    <t xml:space="preserve">Įstaigų pajamos (ĮP) likutis 2024 m.
</t>
  </si>
  <si>
    <t xml:space="preserve">Suaugusiųjų neformaliojo švietimo ir tęstinio mokymosi programų 
atrankos konkurso organizavimas ir finansavimas, įgyvendinimo priežiūra, dalyvavimas Nacionalinėje suaugusiųjų mokymosi savaitėje ir jos renginių organizavimas </t>
  </si>
  <si>
    <t>Besimokančiųjų iniciatyvų skatinimas, pažinimo, lavinimosi, saviraiškos galimybių užtikrinimas ir konkursų, olimpiadų organizavimas. Dalyvavimas diagnostiniame ir standartizuotame testavime, olimpiadų, konkursų, varžybų organizavimas, mokinių dalyvavimas „Kultūros paso“ programose, regiono, šalies konkursuose, atrankose, kituose renginiuose pagal atskirai gautus raštus, dalyvavimo kaštų apmokėjimas, Visagino savivaldybėje gyvenančių suaugusių asmenų mokymasis pagal NSŠTM programas. Programos finansuojamos konkurso būdu pagal Visagino savivaldybės tarybos  patvirtintą Visagino savivaldybės NSŠTM programų, finansuojamų savivaldybės biudžeto lėšomis, finansavimo ir atrankos aprašą, įgyvendinimo priežiūra, savivaldybės etapo dalykinių olimpiadų ir konkursų vykdymas, nugalėtojų apdovanojimas, apmokėjimas užduočių rengėjams, dalyvavimo šalies etapo olimpiadose ir konkursuose užtikrinimas, Suaugusiųjų švietimo savaitės renginių organizavimas, dalyvavimas Suaugusiųjų švietimo savaitės respublikos, regiono renginiuose, svariausių laimėjimų pasiekusių savivaldybės mokinių pagerbimo renginio organizavimas, bendradarbiavimas su kitomis institucijomis ir kitos veiklos, padedančios siekti numatyto uždavinio.</t>
  </si>
  <si>
    <t xml:space="preserve">Vaikų lopšelio-darželio „Auksinis raktelis“ jubiliejui </t>
  </si>
  <si>
    <t>Draugystės progimnazijos jubiliejui</t>
  </si>
  <si>
    <t>Vaikų lopšelio-darželio „Gintarėlis“  jubiliejui</t>
  </si>
  <si>
    <t>"Žiburio" pagrindinės mokyklos jubiliejui</t>
  </si>
  <si>
    <t>Atgimimo gimnazijos jubiliejui</t>
  </si>
  <si>
    <t>Atgimimo gimnazijos  (pajamos už egzaminus)</t>
  </si>
  <si>
    <t xml:space="preserve">Įstaigų pajamos iš viso 2025 m. 
</t>
  </si>
  <si>
    <t xml:space="preserve">02.01.01.01. 
darželiams </t>
  </si>
  <si>
    <t>mokykloms</t>
  </si>
  <si>
    <t xml:space="preserve"> VKM ir ŠPT</t>
  </si>
  <si>
    <t>2 programa (ĮV)</t>
  </si>
  <si>
    <t xml:space="preserve">Miesto turo dalykinių olimpiadų ir konkursų nugalėtojų apdovanojimas, 
apmokėjimas užduočių rengėjams, jaunojo pedagogo klubas. 5 000 eur siūloma skirti jaunųjų pedagogų klubo veiklai </t>
  </si>
  <si>
    <t>įstaigos veikla</t>
  </si>
  <si>
    <t>Įstaigos veikla VKMA DU-29000, 
6000 VSA Newton veiklai</t>
  </si>
  <si>
    <t xml:space="preserve">Newton room veiklai užtikrinti </t>
  </si>
  <si>
    <t xml:space="preserve">Iš viso </t>
  </si>
  <si>
    <t>Projektas "Spalvotosios emocijos" (Colorful emotions) LAT-LIT</t>
  </si>
  <si>
    <t>BU mokyklos ir VSA</t>
  </si>
  <si>
    <t>SB nt (L)</t>
  </si>
  <si>
    <t xml:space="preserve">Vaikų lopšelis-darželis „Auksinis gaidelis“ </t>
  </si>
  <si>
    <t xml:space="preserve">Vaikų lopšelis-darželis „Auksinis raktelis “ </t>
  </si>
  <si>
    <t>Vaikų lopšelis-darželis „Ąžuoliukas“</t>
  </si>
  <si>
    <t>Vaikų lopšelis-darželis „Gintarėlis“</t>
  </si>
  <si>
    <t xml:space="preserve">Įrengtų STEAM patalpų skaičius </t>
  </si>
  <si>
    <t>Įgyvendinant šią priemonę bus užtikrintas Visagino savivaldybės bendrojo ugdymo mokyklų tinklo pertvarkos priemonių plano, patvirtinto 2022 m. kovo 31 d. Visagino savivaldybės tarybos Nr. TS-33 „Dėl Visagino savivaldybės bendrojo ugdymo mokyklų tinklo pertvarkos 2022–2026 metų bendrojo plano patvirtinimo“, įgyvendinimas.</t>
  </si>
  <si>
    <t>1.4. Europos Sąjungos ir kitos tarptautinės finansinės paramos lėšos (ES, EGDP, VB)</t>
  </si>
  <si>
    <t>Kita veikla (SB)</t>
  </si>
  <si>
    <t xml:space="preserve">
2025</t>
  </si>
  <si>
    <t xml:space="preserve">
2026</t>
  </si>
  <si>
    <t xml:space="preserve">
2027</t>
  </si>
  <si>
    <t>Specialioji dotacija (SD)</t>
  </si>
  <si>
    <t>Įstaigų pajamos</t>
  </si>
  <si>
    <t>Projektai (ES, VB)</t>
  </si>
  <si>
    <t>Valstybės dotacija (D)</t>
  </si>
  <si>
    <t>Specialioji (AA)</t>
  </si>
  <si>
    <t>Kiti šaltiniai</t>
  </si>
  <si>
    <t>Pagal Newton Rooms konceptą pradėtų įgyvendinti naujų modulių skaičius</t>
  </si>
  <si>
    <t xml:space="preserve">VšĮ Visagino plaukimo centras </t>
  </si>
  <si>
    <t xml:space="preserve">VŠĮ Visagino biatlono centras </t>
  </si>
  <si>
    <t>Įgyvendinant aukščiau numatytą priemonę bus užtikrintas viešųjų įstaigų Visagino sporto ir rekreacijos centro, Visagino krepšinio mokyklos, Visagino futbolo centro, Visagino graikų-romėnų imtynių centro, Visagino plaukimo centro, Visagino biatlono centro veiklos organizavimas ir ugdymo/treniruočių proceso užtikrinimas pagal finansavimo sutartis.</t>
  </si>
  <si>
    <t>2024-11-21 Nr. TS-191 Dėl Visagino savivaldybės sporto veiklos finansavimo tvarkos
aprašo patvirtinimo
Visagino ralis, trenkturas ir kiti, dviračių gyvenimo pagyvinimas 20000 Eur</t>
  </si>
  <si>
    <t xml:space="preserve">2025 m. planuojama parengti galimybių studiją ir išnagrinėti įvairias alternatyvas. Parinkus alternatyvą bus rengiamas investicijų projektas ir pradėtos viešojo ir privataus sektoriaus partnerystės projekto derinimo procedūros. </t>
  </si>
  <si>
    <t>Parengtų dokumentų  skaičius</t>
  </si>
  <si>
    <t xml:space="preserve">2024 m. lapkričio 21 d. Visagino savivaldybės tarybos sprendimu Nr. TS-191 „Dėl Visagino savivaldybės sporto veiklos finansavimo tvarkos aprašo patvirtinimo“, buvo patvirtinta Visagino savivaldybės sporto veiklos finansavimo tvarka, kurios pagrindu bus organizuojami konkursai bei bus prisidedama prie baseinų veiklos organizavmo užtikrinimo. </t>
  </si>
  <si>
    <t xml:space="preserve">Visagino savivaldybės tarybos 2024-11-21 sprendimu Nr. TS-192 " Dėl Visagino savivaldybės sportininkų ir jų trenerių apdovanojimo tvarkos aprašo patvirtinimo", patvirtinto Visagino savivaldybės sportininkų ir jų trenerių apdovanojimo tvarkos aprašo įgyvendinimo užtikrinimas. </t>
  </si>
  <si>
    <t xml:space="preserve">Apdovanotų asmenų skaičius </t>
  </si>
  <si>
    <t xml:space="preserve"> Sporto komandų, kurios dalyvavo šalies aukščiausiojo lygio čempionatuose, tarptautiniuose turnyruose, skaičius (vnt.)</t>
  </si>
  <si>
    <t>Asmenų, kurios dalyvavo šalies aukščiausiojo lygio čempionatuose, tarptautiniuose turnyruose, skaičius (vnt.)</t>
  </si>
  <si>
    <t>Projektas „Sportuoti gali visi"“</t>
  </si>
  <si>
    <t>03.01.02.06-3 (TP)</t>
  </si>
  <si>
    <t>2024-11-21 VSA sprendimas Nr. TS-188</t>
  </si>
  <si>
    <t xml:space="preserve">Bus teikiama paraiška į sporto rėmimą. Planuojma data kovo-balandžio mėnesį. </t>
  </si>
  <si>
    <t>Baseinų veiklos  užtikrinimas</t>
  </si>
  <si>
    <r>
      <t>2027</t>
    </r>
    <r>
      <rPr>
        <b/>
        <sz val="7"/>
        <rFont val="Arial"/>
        <family val="2"/>
      </rPr>
      <t xml:space="preserve"> metų asignavimai ir kitos lėšos</t>
    </r>
  </si>
  <si>
    <t>4 programa 
Kultūros įstaigoms</t>
  </si>
  <si>
    <t>Visagino savivaldybės muziejus  Pagal 2023-03-10 TS-37 (2023-2025 m. programa)</t>
  </si>
  <si>
    <t xml:space="preserve">VšĮ Visagino miesto muziejus </t>
  </si>
  <si>
    <t xml:space="preserve">VšĮ Mados istorijos muziejus </t>
  </si>
  <si>
    <t xml:space="preserve">Lietuvos Dainų šventė vyksta kas ketverius metus. </t>
  </si>
  <si>
    <t xml:space="preserve">Įgyvendinant priemonę bus propoguojama etninės kultūros sklaida, senųjų tradicijų, papročių populiarinimas, gyvybingumo puoselėjimas  bei įgyvendinami tokie renginiai kaip Lietuvos liaudies meno paroda - konkursas "Aukso vainikas", Lietuvos vaikų ir jaunimo liaudies meno paroda - konkursas "Sidabro vainikėlis", Lietuvių bendruomenės renginys "Kaimynėli būki sveikas", Tarptautinis tautinių kultūrų festivalis "Rudeninės" ir kt. </t>
  </si>
  <si>
    <t xml:space="preserve">ĮP </t>
  </si>
  <si>
    <t>2025 m. Visagino savivaldybės asignavimai iš valstybės biudžeto specialios tikslinės dotacijos savivaldybių biudžetams lėšų SB (D)</t>
  </si>
  <si>
    <t>Visagino savivaldybės 2025 m. asignavimai iš valstybės biudžeto lėšų ir kitų dotacijų (SD)</t>
  </si>
  <si>
    <t xml:space="preserve">
Projektai (SB) ir SB (L)
</t>
  </si>
  <si>
    <t xml:space="preserve">
2025 SB (L)</t>
  </si>
  <si>
    <t xml:space="preserve">
2026 SB</t>
  </si>
  <si>
    <t xml:space="preserve">
2027 SB</t>
  </si>
  <si>
    <t xml:space="preserve">Likutis 
2024 m. </t>
  </si>
  <si>
    <t>Lietuvos žaliųjų judėjimo Tarptautinei gamtosauginių mokyklų programai „Verdenės“ gimnazijoje koordinuoti</t>
  </si>
  <si>
    <t>AA( L)</t>
  </si>
  <si>
    <t>Žemės sklypų, kuriuose medžioklė nėra uždrausta, savininkų, valdytojų ir naudotojų įgyvendinamos žalos prevencijos priemonės, kuriomis jie siekia išvengti medžiojamųjų gyvūnų daromos žalos.
Žemės sklypų savininkams, valdytojams ir naudotojams, įgyvendinantiems medžiojamų gyvūnų daromos žalos apsaugos priemones, kuriomis jie siekia išvengti medžiojamųjų gyvūnų daromos žalos, remti.
Kartografinės ir kitos medžiagos, reikalingos pagal Medžioklės įstatymo reikalavimus rengiamiems medžioklės plotų vienetų sudarymo ar jų ribų pakeitimo projektams parengti, priemonės .</t>
  </si>
  <si>
    <t xml:space="preserve">Visagino savivaldybės aplinkos monitoringo programos priemonėms  įgyvendinti </t>
  </si>
  <si>
    <t xml:space="preserve">Visagino savivaldybės aplinkos monitoringo duomenų bazei </t>
  </si>
  <si>
    <t>Visagino savivaldybės 2024 m. aplinkos apsaugos rėmimo specialiosios programos biudžeto išlaidos (likučio lėšos)</t>
  </si>
  <si>
    <t xml:space="preserve">Visagino savivaldybės 2025 m. aplinkos apsaugos rėmimo specialiosios programos biudžeto išlaidos </t>
  </si>
  <si>
    <r>
      <t xml:space="preserve">08.01.02.02. (TP)
</t>
    </r>
    <r>
      <rPr>
        <b/>
        <sz val="9"/>
        <rFont val="Arial"/>
        <family val="2"/>
      </rPr>
      <t>Nauja priemonė</t>
    </r>
    <r>
      <rPr>
        <sz val="9"/>
        <rFont val="Arial"/>
        <family val="2"/>
      </rPr>
      <t xml:space="preserve"> </t>
    </r>
  </si>
  <si>
    <t>Reklamos stendų atnaujinimas</t>
  </si>
  <si>
    <t xml:space="preserve">Renovuoto daugiabučio namo, esančio Visagino g. 5 atraminių sienelių konstrukcijos  ekspertizės atlikimas </t>
  </si>
  <si>
    <t xml:space="preserve">Įgyvendinant Funkcinės zonos Visagino savivaldybės, Ignalinos ir Zarasų rajonų savivaldybių teritorijose (VIZA) 2024–2029 m. strategiją, 2025 m. bus pradėtas įgyvendinti projektas "Bendradarbystės centro VIZA-CITY sukūrimas Visagine: socialinio verslumo ir kūrybinių industrijų centras su bendradarbystės erdvėmis". Siekiant įkūrti bendradarbystės centrą VIZA-CITY planuojamas pastato, esančio Taikos pr. 23, Visagine, modernizavimas, suremontuojant ir įrengiant vidaus erdves (bendro naudojimo, renginių, individualaus darbo, ekspozicines erdves, administracines patalpas), sutvarkant lauko infrastruktūrą, įsigyjant būtinus baldus ir įrangą, skirtą smulkiajam ir vidutiniam verslui (toliau SVV), kuriančiam išmanaus/šiuolaikinio miesto technologijas (urbanistika, pramoninis produktų dizainas, kompiuterinis trimatis projektavimas, grafinis dizainas, dirbtinio intelekto srityje dirbančios įmonės), skaitmeninį turinį (socialinės medijos, audiovizualinių produktų kūrimas, tekstų kūrimas, smulkiatiražė leidyba), taip pat šio SVV konsultavimui verslo pradžios ir verslo vystymo klausimais, verslumo skatinimo renginiams.
Planuojama projekto įgyvendinimo pradžia 2025 m. IV ketvirtis, pabaiga 2028 m. IV ketvirtis. Bendra projekto vertė 1 708 235,29 Eur, iš jų 1 452 000,00 Eur Europos Sąjungos lėšos, 256 235, 29 Eur savivaldybės biudžeto lėšos. Projekto pareiškėjas ir vykdytojas VšĮ Visagino ekonomikos plėtros agentūra. Partneris - Visagino savivaldybės administracija. 
2025 m. bus rengiama projektinė dokumentacija. </t>
  </si>
  <si>
    <t xml:space="preserve">Įgyvendinant Funkcinės zonos Visagino savivaldybės, Ignalinos ir Zarasų rajonų savivaldybių teritorijose (VIZA) 2024–2029 m. strategiją,  2025 m. bus pradėtas įgyvendinti projektas "Visagino savivaldybės teritorijos (-ų) pritaikymas pramonės, komercijos, paslaugų verslo  investicijoms".  Projekto įgyvendinimo metu bus tvarkomos teritorijos, esančios pramoninėje teritorijoje Visagino mieste (tarp teritorijų Dūkšto kel. 84A–Dūkšto kel. 100) ir pritaikomos investicijoms. Pagrindinės planuojamos projekto veiklos: teritorijų išvalymas, sklypo suformavimas, sklypo išlyginimas, reikiamos inžinerinės ir susisiekimo infrastruktūros įrengimas. Projektą planuojama pradėti įgyvendinti 2025 m. IV ketvirtyje, baigti 2027 m. IV ketvirtyje. Bendra projekto vertė 391 542,66 Eur, iš jų Europos Sąjungos lėšos 332 811,26 Eur, savivaldybės biudžeto lėšos 58 731,40 Eur.
2025 m. bus rengiama projektinė dokumentacija.  Projekto pareiškėjas ir vykdytojas Visagino savivaldybės administracija. </t>
  </si>
  <si>
    <t>Kultūros centras (komunalinės išlaidos)</t>
  </si>
  <si>
    <t xml:space="preserve">Atsižvelgiant į savivaldybės poreikį, bus rengiami žemės sklypų planai ir kadastriniai matavimai, įgyvendinantys Visagino savivaldybės ir Visagino miesto bendrųjų planų sprendinius. Preliminarus poreikis ~ 8 - 10 sklypų (vieneto kaina ~ 600) .
Nuo 2024 m. balandžio 22 d. Lietuvos Respublikos savivaldybių administracijos buvo kviečiamos teikti paraiškas paramai gauti, pagal Lietuvos Respublikos aplinkos ministro 2023 m. birželio 30 d. įsakymu Nr. D1-218 patvirtintą Plėtros programos Pažangos priemonės Nr. 02-001-06-08-04 „Skatinti miškų plėtrą ir darnų miškų sektoriaus vystymąsi“ veiklos „Miestų miškų sklypų suprojektavimas, suformavimas ir užregistravimas Nekilnojamojo turto registre“ finansavimo sąlygų aprašą.  Pažangos priemonės veiklos tikslas – sudaryti sąlygas savivaldybei valdyti patikėjimo teise ir racionaliau naudoti iki šiol nesuformuotuose žemės sklypuose esančius miestų miškus. Projekto įgyvendinimo trukmė 24 mėn. Visagino savivaldybės administracijai skirta 41475,10 Eur tikslinė negrąžintina išmoka. Planuojama įregistruoti 15 sklypų ( 218,29 ha). 2024 m. rugsėjo 25 d. buvo pasirašyta pirkimo sutartis Nr. CPO316829. Sutarties vertė 25210,35 Eur., trukmė 24 mėn. nuo Pirkimo sutarties įsigaliojimo datos. </t>
  </si>
  <si>
    <t xml:space="preserve">2020 m. lapkričio 9 d. tarp Savivaldybės ir AB „Energijos skirstymo operatorius“ buvo sudarytas elektros gamybos įrenginių prijungimo prie elektros skirstymo tinklų ketinimų protokolas Nr. 20-57591, kuriame prievolių įvykdymo užtikrinimui savivaldybė numatė  212 500 Eur sumą bei įgijo leidimą plėtoti elektros energijos gamybos pajėgumus 10Mw. Plėtros leidimas galioja iki 2027-05-20. </t>
  </si>
  <si>
    <t xml:space="preserve">Įgyvendinant Funkcinės zonos Visagino savivaldybės, Ignalinos ir Zarasų rajonų savivaldybių teritorijose (VIZA) 2024–2029 m. strategiją 2025 m. bus pradėtas įgyvendinti projektas "Visagino gamtos objektų pritaikymas lankymui" Planuojamos veiklos:
 -tako per aukštapelkę įrengimas (pratęsimas) sujungiant Kukuižės ežero aukštapelkės pažintinį taką su  Visagino ežeru (įrengiant universalaus dizaino priemones);
- privažiavimo (priėjimo/parkavimo) prie paplūdimio infrastruktūros sutvarkymas prie  Visagino ežero;
- pėsčiųjų tako aplink Visagino ežerą per miško masyvą, poilsio/atokvėpio aikštelių įrengimas, ženklinimas;
- pėsčiųjų/slidinėjimo/riedučių trasos (sujungiant Kukuižės ežerą ir Gražutės regioninį parką)  modernizavimas, apšvietimo įrengimas, poilsio/atokvėpio aikštelių įrengimas, ženklinimas;
- audiogidų sistemos sukūrimas Visagino mieste (įveiklinant miesto erdves remiantis maršrutu „(Ne)Atominis Visaginas“).
Projekto pradžia 2025 m. IV ketvirtis, pabaiga 2028 m. IV ketvirtis. Bendra projekto vertė 1941176,47 Eur, iš jų Europos Sąjungos lėšos  1 650 000,00 Eur, savivaldybės biudžeto lėšos 291 176,47 Eur.  Projekto pareiškėjas ir vykdytojas Visagino savivaldybės administracija. Projekto partneris VšĮ Visagino turizmo plėtros centras. </t>
  </si>
  <si>
    <t xml:space="preserve">Įgyvendinant Funkcinės zonos Visagino savivaldybės, Ignalinos ir Zarasų rajonų savivaldybių teritorijose (VIZA) 2024–2029 m. strategiją  2025 m. bus pradėtas įgyvendinti projektas "Visagino kultūros objektų pritaikymas lankymui, įrengiant būtiną viešąją infrastruktūrą" . Planuojamos veiklos:
- Kultūros centro pritaikymas lankymui, kompleksiškai modernizuojant jo prieigas (aplink Vilties g. 3), nugriaunant apleistą pastatą, sutvarkant teritoriją, įrengiant priėjimus/privažiavimą/stovėjimo vietas, diegiant universalaus dizaino priemones, įrengiant WC);
- audiogidų sistemos sukūrimas Visagino mieste (įveiklinant miesto erdves remiantis virtualiu maršrutu atominisvisaginas.lt).
Projekto pradžia 2025 m. IV ketvirtis, pabaiga 2028 m. IV ketvirtis. Bendra projekto vertė 1 000 000,00 Eur, iš jų Europos Sąjungos lėšos  850 000,00 Eur, savivaldybės biudžeto lėšos 150 000,00 Eur.  Projekto pareiškėjas ir vykdytojas Visagino savivaldybės administracija. Projekto partneris VšĮ Visagino turizmo plėtros centras. </t>
  </si>
  <si>
    <t>Esant poreikiui būtų mokamos kompensacijos už autobuso bilietus pensininkams ar neįgaliesiems (nuolaidos nuo 50 proc. iki 80 proc.). Makaravo kaimas mokamas maršrutas 1 eur -1 kartas, 1 mėn. 30 Eur.</t>
  </si>
  <si>
    <t xml:space="preserve">Panaudotų lėšų, nuo visų planuotų  panaudoti, proc. </t>
  </si>
  <si>
    <t>Suteiktų paslaugų autobusų stoties lankytojams, kiekis per mėn.</t>
  </si>
  <si>
    <t xml:space="preserve">Lėšos tarp priemonių 10.01.01.03 ir 10.01.01.04 padalintos pagal pateiktą poreikio proc. 
Mokinių pavežėjimui 2025-49,44 proc., 2026-50,27 proc., 2027-51,12 proc. 
Transportui 2025-50,56 proc., 2026 m., 49,73 proc., 2027 m. 48,88 proc. 
</t>
  </si>
  <si>
    <t xml:space="preserve"> 2025-2027 m. laikotarpiu planuojama įgyvendinti projektą "Darnaus ir saugaus judumo vystymas Visagine“. 
Planuojamos įgyvendinti veiklos:
-Kryptinio Visagino miesto pėsčiųjų perėjų apšvietimo įrengimas, 19 vnt.;
-Viešojo transporto stotelių pritaikymas specialiųjų poreikių turintiems žmonėms, 3 vnt.;
-Miesto pėsčiųjų takų pritaikymas specialių poreikių turintiems žmonėms, 7 vnt.;
-Miesto pėsčiųjų perėjų ir sankryžų pritaikymas specialių poreikių turintiems žmonėms, 33 vnt.
-Informacinių švieslenčių pagrindinėse Visagino autobusų stotelėse įrengimas, 12 vnt.
Planuojama projekto vertė 3 191 000 Eur, iš jų ES ir valstybės biudžeto paramos lėšos 2 712 350 Eur, savivaldybės biudžeto lėšos 478 650 Eur.</t>
  </si>
  <si>
    <t>2025-2027 m. laikotarpiu planuojama įgyvendinti projektą "Dviračių ir pėsčiųjų takų infrastruktūros plėtra Visagine (I etapas)“. 
Planuojamos įgyvendinti veiklos:
-Dviračio tako nuo geležinkelio stoties iki Taikos pr. ir Energetikų g. sankryžos rekonstravimas ir įrengimas (~2,73 km);
-Dviračių tako Kosmoso g. nuo autobusų stoties (nuo Parko iki Taikos pr.) rekonstravimas ir įrengimas (~1,6 km);
-Dviračių-pėsčiųjų tako nuo Taikos pr. ir Energetikų g. sankryžos iki Eglinio g. ir valstybinės reikšmės kelio Nr. 177 sankryžos Visagino sav. (šalia valstybinės reikšmės kelio Nr. 5348) įrengimas, sujungiant Visagino miestą, pramonės teritorijas ir kaimiškas teritorijas (~2,2 km);
-Dviračių saugojimo aikštelių (uždaros aikštelės) – 10 vnt. ir dviračių laikymo stovų su stogeliu (atviros aikštelės) įrengimas – 30 vnt. 
Planuojama projekto vertė 3 204 168 Eur, iš jų ES ir valstybės biudžeto paramos lėšos 2 723 543 Eur, savivaldybės biudžeto lėšos 480 625 Eur.</t>
  </si>
  <si>
    <t xml:space="preserve">2025-2027 m. laikotarpiu planuojama įgyvendinti projektą "Dviračių ir pėsčiųjų takų infrastruktūros plėtra Visagine (II etapas)“.
Planuojamos įgyvendinti veiklos:
-Dviračių takų įrengimas iki priemiesčių/pramonės zonų Visagino savivaldybėje ir dviračių/bevariklio transporto takų tinklo sujungimas:
-Dviračių tako su apšvietimu link pramonės teritorijos Karlų k. nuo sankryžos Taikos pr. ir Energetikų g. iki valstybinės reikšmės kelio Nr. 177 (šalia valstybinės reikšmės kelio Nr. 113) įrengimas (~2,6 km)
-Dviračių tako nuo valstybinės reikšmės kelio Nr. 177 ir Nr. 5348 sankryžos, iki Magūnų k., Visagino sav. įrengimas, sujungiant Visagino miestą su pramonės teritorijomis ir viešosiomis erdvėmis (~4,7 km)
-Dviračių tako nuo sankryžos Energetikų g. ir Jaunystės g. iki Gulbinio g. Magūnų k. (SB ,,Pavasaris“) Visagino sav. įrengimas, sujungiant Visagino miestą, pramonės teritorijas ir kaimiškas teritorijas (~1,72 km)
-Dviračių ir pėsčiųjų takų įrengimas ir atnaujinimas Visagino mieste:
-Dviračių/pėsčiųjų tako įrengimas (individualių namų kvartale) įrengimas (~3,25 km)
Planuojama projekto vertė 2 765 832 Eur, iš jų ES ir valstybės biudžeto paramos lėšos  2 350 957 Eur, savivaldybės biudžeto lėšos 414 875 Eur </t>
  </si>
  <si>
    <t>Pagal biudžetinių įstaigų ir miesto gyventojų prašymus remontuojami ypač blogos būklės šaligatviai, pėsčiųjų takai. 2024-10-02 pasirašyta 3 metų Rangos darbų sutartis (750 000 Eur) Nr. 5-459.</t>
  </si>
  <si>
    <t xml:space="preserve">Įgyvendinant priemonę planuojama parengti investicinius projektus Parko g. 14, Vilties g. 1, Kosmoso g. 28 A  pastatų modernizavimui ir pradėti, pastato, esančio Parko g. 14 modernizavimo darbus. </t>
  </si>
  <si>
    <r>
      <rPr>
        <i/>
        <sz val="9"/>
        <color rgb="FFFF0000"/>
        <rFont val="Arial"/>
        <family val="2"/>
      </rPr>
      <t>Neaišku dėl vietos</t>
    </r>
    <r>
      <rPr>
        <i/>
        <sz val="9"/>
        <rFont val="Arial"/>
        <family val="2"/>
      </rPr>
      <t xml:space="preserve"> </t>
    </r>
  </si>
  <si>
    <t xml:space="preserve">Lopšelis darželis "Ąžuoliukas" baseino rekonstravimo projektui </t>
  </si>
  <si>
    <t xml:space="preserve">Įgyvendinant priemonę bus rengiama projektinė dokumentacija valdomam turtui atnaujinti pagal poreikį. 
</t>
  </si>
  <si>
    <t xml:space="preserve">Savininkų švietimas  ir apmokėimui už investicinius projektus </t>
  </si>
  <si>
    <t>Sutvarkyta / įrengta /
 atnaujinta teritorijų, ha</t>
  </si>
  <si>
    <t xml:space="preserve">Užtikrintas  pasirengimas valdyti krizes
 ir ekstremaliąsias situacijas ir jų padarinių šainimas </t>
  </si>
  <si>
    <t xml:space="preserve">taip </t>
  </si>
  <si>
    <t>VšĮ  Vidaus reikalų ministerijos projektų valdymo agentūra  paskelbė kvietimą teikti projektų įgyvendinimo planus pagal Civilinės saugos stiprinimo ir plėtros programos veiklą „Priedangų infrastruktūros plėtra". Paraiškos gali būti teikiamos nuo 2024 m. lapkričio 21 d. iki  2025 m. sausio 1 d. Projektų atrankos būdas - konkursas. Maksimali projektui skiriama suma iki 200 000 Eur. Orientacinė investicijų suma į vieną priedangą – ≤ 40 000 Eur. Finansuojamoji dalis iki 100 proc.  Projektų veikloms numatyta iki 2030 m. skirti 77 000 tūkst. Eur Valstybės gynybos fondo lėšų. Projektų atranka bus vykdoma kasmet 2024–2028 m. 
Finansavimas gali būti skirtas tokiems priedangų įrengimo darbams kaip konstrukcijų ekspertizės atlikimas, statybos projekto parengimas, papildomų evakuacinių išėjimų įrengimas, el. generatorių įsigijimas ir įrengimas, vėdinimo sistemos įrengimas ar sutvarkymas, įėjimo ir išėjimo pritaikymas riboto judumo asmenims, apsauginių skydų langams įrengimas, konstrukcijų stiprinimas, priešgaisrinės saugos priemonių įrengimas.</t>
  </si>
  <si>
    <t>E-10-03-06</t>
  </si>
  <si>
    <t xml:space="preserve">R-10.03.06.01. </t>
  </si>
  <si>
    <t>10.01.02.02. (PP)
Nauja priemonė</t>
  </si>
  <si>
    <t>10.01.02.03. (PP)
Nauja priemonė</t>
  </si>
  <si>
    <t xml:space="preserve">Visagino savivaldybės administracija kartu su Projekto partneriu Daugpilio miesto savivaldybe 2023 m. kovo 27 d. pateikė paraišką pagal Interreg VI-A Latvia–Lithuania Programą 2021–2027 (toliau – LatLit programa), kurios siektini rezultatai atitinka LatLit programos IV prioriteto – „Ekonominis turizmo ir paveldo potencialas“. Numatoma projekto trukmė – 24 mėn. Planuojama projekto pradžia – 2024 m. I-II ketvirčiai. 
2023 m. lapkričio 10 d. buvo gautas iš Latvijos Respublikos aplinkos apsaugos ir regioninės plėtros ministerijos sprendimas Nr. 5-54/6462, kurio informavo dėl Projekto finansavimo skyrimo.
2024 m. buvo sutvarkyta slidinėjimo trasa miško masyve, Visagine, nupirktas ir pristatytas keturratis bei įvyko mokymai Daugpilyje skirti turizmo specialistams ir savivaldybių darbuotojams, dirbantiems miestų plėtros srityje. 2025 m. planuojama: nupirkti 6 vnt. slidžių komplektus ir 6 vnt. rolerių, slidinėjimo trasos atidarymas, gerosios patirties vizitai su Daugpilio savivaldybe (pagrindiniu partneriu) ir filmuoti vaizdo įrašus apie Visagino ir Daugpilio žiemos turizmą. 
</t>
  </si>
  <si>
    <t xml:space="preserve">Skirtumas </t>
  </si>
  <si>
    <t xml:space="preserve">Kosmoso gatvės projektavimas </t>
  </si>
  <si>
    <t>Draugystės 
progimnazija</t>
  </si>
  <si>
    <t>Stadiono geokupolo galimybių studija</t>
  </si>
  <si>
    <t xml:space="preserve">Visagino miesto muziejaus pastato paskirties keitimas </t>
  </si>
  <si>
    <t xml:space="preserve">Kita veikla </t>
  </si>
  <si>
    <t>Įstaigos veikla</t>
  </si>
  <si>
    <t>D. Kardelienė</t>
  </si>
  <si>
    <t>Pakuočių ir antrinių žaliavų surinkimo konteinerių įsigijimas</t>
  </si>
  <si>
    <t>Atliekų surinkimo konteinerių aikštelių, numatytų Atliekų surinkimo konteinerių aikštelių plėtros galimybių studijoje, projektavimas</t>
  </si>
  <si>
    <t xml:space="preserve">Kompostavimo konteineriai žaliosioms atliekoms </t>
  </si>
  <si>
    <t>Teisės aktų reikalavimų įgyvendinimas,siekiant suteikti atliekų turėtojams kokybiškas paslaugas. Parengus Atliekų surinkimo konteinerių aikštelių plėtros galimybių studiją, nustatyta, kad Visagine reikalinga papildomai įrengti 11 konteinerių aikštelių. Lėšų poreikis apskaičiuotas ir nurodytas minėtoje galimybių studijoje.</t>
  </si>
  <si>
    <t>600 vnt kompostavimo dėžių įsigyjimas, siekiant kompostuoti žaliąsias atliekas jų susidarymo vietoje (sodininkai). Pagal preliminarius komercinius pasiūlymus vieneto kaina 100 Eur.</t>
  </si>
  <si>
    <t>10.03.06.01. (PP)
nauja priemonė</t>
  </si>
  <si>
    <t>Reikalinga pakeisti esamus antžeminius konteinerius ("varpelio" formos), nes susidėvėjo. Poreikis 108 vnt.  Pagal 2024 m. gautus komercinius pasiūlymus (1 vnt. x560 Eur).  Rezervinių pusiau požeminių konteinerių įsijijimas (5 vnt.) ir jų įrengimas, nes sunaikinus turtą neturime pakeitimo. Pagal gautus komercinius pasiūlymus 1 vnt. kaina su PVM 3800 Eur.</t>
  </si>
  <si>
    <t>1 programa (SVP)</t>
  </si>
  <si>
    <t>1 programa (SB)</t>
  </si>
  <si>
    <t>2 programa (SB)</t>
  </si>
  <si>
    <t>3 programa (SVP)</t>
  </si>
  <si>
    <t>3 programa (SB)</t>
  </si>
  <si>
    <t>4 programa (SVP)</t>
  </si>
  <si>
    <t>4 programa (SB)</t>
  </si>
  <si>
    <t>5 programa (SVP)</t>
  </si>
  <si>
    <t>5 programa (SB)</t>
  </si>
  <si>
    <t>6 programa (SVP)</t>
  </si>
  <si>
    <t>6 programa (SB)</t>
  </si>
  <si>
    <t>7 programa (SVP)</t>
  </si>
  <si>
    <t>7 programa (SB)</t>
  </si>
  <si>
    <t>8 programa (SVP)</t>
  </si>
  <si>
    <t>8 programa (SB)</t>
  </si>
  <si>
    <t>9 programa (SVP)</t>
  </si>
  <si>
    <t>9 programa (SB)</t>
  </si>
  <si>
    <t>10 programa (SVP)</t>
  </si>
  <si>
    <t>10 programa (SB)</t>
  </si>
  <si>
    <t>Viso kita veikla (SVP)</t>
  </si>
  <si>
    <t>Viso kita veikla (SB)</t>
  </si>
  <si>
    <t>Projektai (SVP)</t>
  </si>
  <si>
    <t>Projektai (SB)</t>
  </si>
  <si>
    <t>Miestų miškų sklypų suprojektavimas, suformavimas ir užregistravimas SD</t>
  </si>
  <si>
    <t>Visagino savivaldybės užimtumo didinimo programos įgyvendinimas D</t>
  </si>
  <si>
    <t>Mokinio krepšelis (D)</t>
  </si>
  <si>
    <t>01.01.02.21. (TP)</t>
  </si>
  <si>
    <t>auksinis gaidelis</t>
  </si>
  <si>
    <t>Priemonė įgyvendinama  KPP programos lėšomis  pagal su AB Via Lietuva  sudaromą finansavimo sutartį ir Visagino savivaldybės mero patvirtintą objektų sąrašą.  KPPP lėšomis 2025 m. numatomi vykdyti objektai.
1. Įvažiavimo į kiemą Nr. 312 rekonstravimas; 
2. Tumelinos gatvės, Tumelinos kaime, Visagino savivaldybės teritorijoje kapitalinis remontas. 
3. Kosmoso g. rekonstravimas, techninio darbo projekto parengimas. 
4. Laboratoriniai kokybės kontrolės bandymai, kelių su asfaltbetonio danga priežiūra, ženklinimas, kelio ženklai, gatvių asfaltbetonio dangos paprastasis remontas.
Savivaldybės biudžeto lėšomis planuojama prisidėti prie įvažiavimo į kiemą Nr. Nr. 312 rekonstravimo, Tumelinos gatvės, Tumelinos kaime, Visagino savivaldybės teritorijoje kapitalinio remonto ir Kosmoso gatvės rekonstavimo projekto parengimo.  
Greičio mažinimo kalnelių keitimas Visagino mieste ( Draugystės g., Kosmoso g., Statybininkų g. )</t>
  </si>
  <si>
    <t xml:space="preserve">Priemonė įgyvendinama pagal gautus gyventojų prašymus. 
1. Bus atliekamas dangos profiliavimas ( Karlų g., Visagino sav., Karlų k.;Tumelinos g., Visagino sav., Tumelinos k.;Apvardų g., Tumelinos k., Visagino sav. ;Dūkšto g., Tumelinos k., Visagino  sav.; Skryto g., Tumelinos k., Visagino  sav.;Sodų g., Makaravo k., Visagino sav.;Ežerų g., Kalviškių k., Visagino sav.).
2. Bus įrengiamos dvi pralaidos, pagilinti grioviai ir pašalintos medžių šakos nuo kelio pusės, kuriuos trukdo esmui  (Ežerų g.). 
3. Palnuojama įrengti drenažą šalia Gulbinio g. </t>
  </si>
  <si>
    <t>3200</t>
  </si>
  <si>
    <t>3150</t>
  </si>
  <si>
    <t>3100</t>
  </si>
  <si>
    <t>740</t>
  </si>
  <si>
    <t>745</t>
  </si>
  <si>
    <t>750</t>
  </si>
  <si>
    <t>Vadovaujantis Lietuvos Respublikos tikslinių kompensacijų įstatymu mokamos individualios pagalbos teikimo išlaidų kompensacijos, atliekamas senyvo amžiaus asmenų savarankiškumo kasdieninėje veikloje vertinimas.</t>
  </si>
  <si>
    <t>Vadovaujantis Lietuvos Respublikos išmokų vaikams įstatymu mokamos vienkartinės ir periodinės išmokos, užtikrinančios finansinę paramą šeimoms, auginančioms vaikus ar įvaikius, ir vaikams, netekusiems tėvų globos.</t>
  </si>
  <si>
    <t>6300</t>
  </si>
  <si>
    <t>6200</t>
  </si>
  <si>
    <t>6100</t>
  </si>
  <si>
    <t>17</t>
  </si>
  <si>
    <t>940</t>
  </si>
  <si>
    <t>2500</t>
  </si>
  <si>
    <t>2024-01-24 Asmens su negalia teisių apsaugos agentūra prie Lietuvos Respublikos socialinės apsaugos ir darbo ministerijos, Visagino svivaldybės administracija ir Visagino šeimos ir vaiko gerovės centras pasirašė projekto „Perėjimas nuo institucinės globos prie bendruomeninių paslaugų Sostinės regione, Vidurio ir vakarų Lietuvos regione“ įgyvendinimo sutartį Nr. 5-30.  Projekto pabaigos data planuojama iki 2029 m. IV ketvirčio pabaigos. 
Projekto  tikslas – užtikrinti Atvejo vadybos modelio taikymą asmenims, turintiems psichikos ir (ar) intelekto negalią, didinti jų socialinius ir darbinius įgūdžius, skatinti savarankiškumą ir gyvenimą bendruomenėje, atsižvelgiant į asmenų individualius poreikius, užimtumą atviroje darbo rinkoje.</t>
  </si>
  <si>
    <t>2400</t>
  </si>
  <si>
    <t xml:space="preserve">Finansuotų socialinių paslaugų skaičius  </t>
  </si>
  <si>
    <t xml:space="preserve">Komunalinėms paslaugoms </t>
  </si>
  <si>
    <t xml:space="preserve">VISAGINO SAVIVALDYBĖS  2025-2027 METŲ STRATEGINIS VEIKLOS PLANAS </t>
  </si>
  <si>
    <t>Vietinės reikšmės maršrutų skaičius</t>
  </si>
  <si>
    <t>Skirtumas</t>
  </si>
  <si>
    <t>Paskola (SB)</t>
  </si>
  <si>
    <t>Teikiama pagalba suteikiant galimybę pailsėti asmeniui (šeimai), prižiūrinčiam (-iai) asmenį, kuriam nustatytas individualios pagalbos teikimo išlaidų kompensacijos poreikis (iki 2023 m. gruodžio 31 d.  – specialusis nuolatinės slaugos ar priežiūros (pagalbos) poreikis)</t>
  </si>
  <si>
    <t>Panaudota dotacijos dalis, nuo visų laikino atokvėpio atlikimui numatytų lėšų procentais</t>
  </si>
  <si>
    <t>Kita veikla</t>
  </si>
  <si>
    <t>Projektai (ankstesnių metų likučiai)</t>
  </si>
  <si>
    <t xml:space="preserve">Viso likutis </t>
  </si>
  <si>
    <t>paskola</t>
  </si>
  <si>
    <t>Įgyvendinant priemonę bus rengiamas techninis projektas prie daugiabučio gyv. namo Kosmoso g.30.</t>
  </si>
  <si>
    <t>Siekiant kurti palankią gyvenamąją aplinką, gerinti fizinio aktyvumo sąlygas bei pritaikyti sporto infrastruktūrą aukščiausio lygio futbolo varžyboms Visagine atnaujinamas centrinis stadionas. Po atnaujinimo darbų Visaginas tapo patrauklia vieta rengti aukšto lygio sporto renginiams. 2025 m. Visagino centriniame stadione planuojama  įgyvendinti II projekto etapą, kuriame numatytą įrengti vandens ėmyklą iš Visagino ežero, siurblinę, laistymo sistemą, privažiavimo kelią ir modernizuoti stadiono aikštės apšvietimą bei EPDM dangas.</t>
  </si>
  <si>
    <t xml:space="preserve">Esant galimybėms ir poreikiams, renovuoti sporto ir laisvalaikio aikšteles. Parengti techninę dokumentaciją Kosmoso g. 3B, esančioje aikštelėje skate parko įrengimui , Draugystės progimnazijos stadiono sutvarkymui bei parengti dengto futbolo stadiono galimybių studiją. 
</t>
  </si>
  <si>
    <t>Planuojama užbaigti vaikų žaidimų aikštelių, kurios buvo pradėtos įrenginėti 2024 metais, įrengimą.
1. Šalia daugiabučio gyvenamojo namo Villties g. 23
2. Šalia daugiabučio gyvenamojo namo Taikos pr. 32
3. Šalia daugiabučio gyvenamojo namoTaikos pr. 88
4. Šalia daugiabučio gyvenamojo namo Sedulinos al. 14
Planuojama įrengti naujas vaikų žaidimo aikštelės 2025 m. :. 
1. Šalia daugiabučio gyvenamojo namo Taikos pr. 14
2. Šalia daugiabučio gyvenamojo namo Festivalio g. 1
3. Šalia daugiabučio gyvenamojo namo Visagino g. 27
4. Šalia daugiabučio gyvenamojo namo Energetikų g. 52
Taip pat planuojama parengti vaikų žaidimo aikštelės, šalia daugiabučių gyvenamųjų namų Parko g. 2, 4, 6, 8, 10, Visagine, supaprastintą projektą.</t>
  </si>
  <si>
    <t>Įgyvendinant priemonę bus vykdoma Sedulinos alėjos fontano „Saulutė" priežiūra, sudarant paslaugų priežiūros sutartį. 2025 metais bus įdiegta 10 naujų kūrinių.</t>
  </si>
  <si>
    <t xml:space="preserve"> Įvažiavimo į stadioną Parko g. 2C apšvietimo įrengimas</t>
  </si>
  <si>
    <t>2024 m. gruodžio 9 d. sutartis Nr.5-550</t>
  </si>
  <si>
    <t>Įrengtų vietų kolumbariume skaičius</t>
  </si>
  <si>
    <t>252</t>
  </si>
  <si>
    <t>Būtina numatyti teritorijos plėtrą. I-ame etape įrengti 9 kvartalai. Pagal įvairias konfesijas, laidojama vienu metu keliuose kvartaluose. 2023-12-08 pasirašyta Visagino naujų kapinių, esančių Dūkšto kel. 62, Visagino savivaldybėje, statybos II etapo darbų sutartis Nr.  5-534. Sutartis užbaigta 2024 metais.
2025 metais bus vykdomi kolumbariumo praplėtimo  darbai,  bus įrengtos dar 252 vietos (84 vnt. g/b elementai po 3 vietas) su šaligatvių įrengimu.</t>
  </si>
  <si>
    <t xml:space="preserve">Asmenų, kuriems suteikta laikino atokvėpio paslauga, skaičius </t>
  </si>
  <si>
    <t>16</t>
  </si>
  <si>
    <t xml:space="preserve">Visagino socialinių paslaugų centras </t>
  </si>
  <si>
    <t>Laikino atokvėpio paslaugų teikimo užtikrinimas 
(nauja priemonė)</t>
  </si>
  <si>
    <t>Įgyvendinant šią priemonę ir  vykdant savarankiškąją savivaldybės socialinių paslaugų teikimo užtikrinimo planuojant ir organizuojant socialines paslaugas funkciją  bei valstybinę (valstybės perduotą savivaldybėms) funkciją, susijusią su socialinės globos teikimo asmenims su sunkia negalia organizavimu, užtikrinama socialines paslaugas Visagino savivaldybėje teikiančių įstaigų Visagino šeimos ir vaiko gerovės centro ir Visagino socialinių paslaugų centro veikla.</t>
  </si>
  <si>
    <t>Socialines paslaugas namuose gaunančių asmenų dalis nuo bendro socialinių paslaugų gavėjų skaičiaus, proc.</t>
  </si>
  <si>
    <t>Šeimose globojamų (rūpinamų) vaikų skaičius (asm.)</t>
  </si>
  <si>
    <t>48</t>
  </si>
  <si>
    <t>47</t>
  </si>
  <si>
    <t>Įgyvendinama  pažangos projektų:
Kompleksinės paslaugos KOPA
Integralios pagalbos teikimas ir plėtra Lietuvos savivaldybėse
Paslaugų, skatinančių ir efektyviai palaikančių globą šeimos aplinkoje, vystymas</t>
  </si>
  <si>
    <t>Socialinių paslaugų poreikio patenkinimas, proc.</t>
  </si>
  <si>
    <t>Įgyvendinama  pažangos projektų, skirtų socialinių paslaugų plėtrai:
-Institucinės globos pertvarka Visagino savivaldybėje (pagal Utenos regiono žemėlapį);
-Perėjimas nuo institucinės globos prie bendruomeninių paslaugų Sostinės regione, Vidurio ir Vakarų Lietuvos regione;
-Nestacionarių socialinių paslaugų, didinančių senyvo amžiaus asmenų gerovę, plėtra Visagino savivaldybėje.</t>
  </si>
  <si>
    <t>2025 m. išlaidų planas, tūkst. Eur</t>
  </si>
  <si>
    <t>ES,VB</t>
  </si>
  <si>
    <t>VB (KT)</t>
  </si>
  <si>
    <t>Viso (D)</t>
  </si>
  <si>
    <t>Viso (SD)</t>
  </si>
  <si>
    <t>Viso (AA)</t>
  </si>
  <si>
    <t>Viso (P)</t>
  </si>
  <si>
    <t>Viso (IP)</t>
  </si>
  <si>
    <t>Viso (B)</t>
  </si>
  <si>
    <t>2023-03-30 Visagino savivaldybės tarybos sprendimo Nr. TS-84 "Dėl pritarimo projekto  „Individualių namų kvartalo vystymo susisiekimo komunikacijų  ir inžinerinių tinklų Visagino mieste įrengimas“ įgyvendinimui". Projekto tikslas – suprojektuoti ir įrengti naujo gyvenamųjų namų kvartalo, apimančio Gervės g., Ateities g., Tautų al., Šeimos g., Laisvės g., Visagino mieste, viešąją infrastruktūrą. Projekto įgyvendinimo laikotarpis – iki 2030 metų.Projektą įgyvendinančios institucijos – Visagino savivaldybės administracija, UAB ,,Visagino energija“, UAB ,,Visagino būstas“. Projekto įgyvendinimo užtikrinimui Visagino savivaldybės administracija privalo užtikrinti Visagino savivaldybės biudžeto lėšomis finansuojamą išlaidų dalį pagal Projekto skaičiuojamąsias kainas atitinkamiems etapams iki 2030 metų, reikalingą Projekto veikloms vykdyti ir Projekto rezultatams pasiekti. Iš viso suformuoti 99 sklypai mažaukščių namų statybai, iš jų 2023 m. buvo parduota 32 sklypai, 2024 m. 8 sklypai. 
2024 metais buvo atlikta:
1.Inžineriniai topografiniai ir geologiniai tyrimai; 
2. Techninės užduoties ir paraiškų prisijungimo sąlygoms ir specialiems reikalavimams gauti reikalingų dokumentų gavimas;
3. Projektinių pasiūlymų parengimas.
4. Visuomenės informavimo procedūros.
5. Derinimo procedūra su AB Via Lietuvą dėl nuovažos nuo Gervės gatvės į valstybinės reikšmės kelią Nr. 113.
2025 metais užbaigiami rengti 3   techniniai darbo projektai, atliktos projektų ekspertizės ir pradėti statybos rangos darbų pirkimai bei pradėti statybos darbai.</t>
  </si>
  <si>
    <t xml:space="preserve">Visagino savivaldybės švietimo stebėsenos rodiklių sąraše, patvirtintame 2022-03-14 Visagino savivaldybės administracijos direktoriaus įsakymu Nr. ĮV-E- 123 "Dėl Visagino savivaldybės švietimo stebėsenos rodiklių sąrašo patvirtinimo" įgyvendintų rodiklių skaičius </t>
  </si>
  <si>
    <r>
      <t>Sporto srityje įgyvendinamų projektų</t>
    </r>
    <r>
      <rPr>
        <sz val="9"/>
        <color rgb="FFFF0000"/>
        <rFont val="Arial"/>
        <family val="2"/>
      </rPr>
      <t>,</t>
    </r>
    <r>
      <rPr>
        <sz val="9"/>
        <rFont val="Arial"/>
        <family val="2"/>
      </rPr>
      <t xml:space="preserve"> skaičius </t>
    </r>
  </si>
  <si>
    <t xml:space="preserve">Užtikrintas paslaugos teikimas pagal poreikį </t>
  </si>
  <si>
    <t xml:space="preserve">Pagrindinis priemonės įgyvendinimo tikslas – pritraukti ir paskatinti trūkstamus specialistus dirbti Visagino savivaldybės biudžetinėse ir  viešosiose įstaigose, kurių savininkė arba dalininkė yra Visagino savivaldybė, kad būtų užtikrinti įstaigų veiklos poreikiai, teikiamų paslaugų gyventojams prieinamumas ir kokybė.  Priemonės įgyvendinimo ir finansavimo sąlygų aprašas tvirtinamas Visagino savivaldybės tarybos sprendimu. 
Priemonės įgyvendinimas prisidės prie Strateginio plėtros plano priemonės „Integruotos investuotojų pritraukimo ir aptarnavimo sistemos sukūrimas ir tikslingais kanalais informacijos apie ekonominę ir investicijų aplinką Visagino potencialiems investuotojams skleidimas“ įgyvendinimo. </t>
  </si>
  <si>
    <t xml:space="preserve">Biudžetas </t>
  </si>
  <si>
    <t xml:space="preserve">Biudzetas </t>
  </si>
  <si>
    <t>Biudžetas 2025</t>
  </si>
  <si>
    <t>finansinis turtas</t>
  </si>
  <si>
    <t>SVP 2025</t>
  </si>
  <si>
    <t>Ugdymo reikmėms finansuoti (MK)</t>
  </si>
  <si>
    <t>Valstybės biudžeto lėšos ir kitos dotacijos  (SD)</t>
  </si>
  <si>
    <t>Visagino savivaldybės 2024 m. asignavimai iš valstybės biudžeto lėšų ir kitų dotacijų (SD)</t>
  </si>
  <si>
    <t>Biudžetas 2026</t>
  </si>
  <si>
    <t>SVP 2026</t>
  </si>
  <si>
    <t>Biudžetas 2027</t>
  </si>
  <si>
    <t>SVP 2027</t>
  </si>
  <si>
    <t>Įgyvendintų programų skaičius per metus</t>
  </si>
  <si>
    <t xml:space="preserve">Savivaldybės biudžeto dalis verslo konsultavimo viešajai paslaugai   finansuoti, proc. </t>
  </si>
  <si>
    <t>Naujų Spiečiaus narių skaičius</t>
  </si>
  <si>
    <t xml:space="preserve">"Spiečiaus" nariams suteiktų konsultacijų skaičius </t>
  </si>
  <si>
    <t>Informacinių seminarų ciklų skaičius</t>
  </si>
  <si>
    <t>Akseleravimo programos įgyvendinimas</t>
  </si>
  <si>
    <t>Atvirų durų renginių skaičius</t>
  </si>
  <si>
    <t>Mentorystės programos įgyvendinimas</t>
  </si>
  <si>
    <t>Aktyvių paslaugas gaunančių Klasterio narių skaičius</t>
  </si>
  <si>
    <t xml:space="preserve">Klasteryje planuojamų teikti naujų paslaugų skaičius </t>
  </si>
  <si>
    <t>Atliktų prevencinių programų dalis nuo visų turinčių teisę, proc.</t>
  </si>
  <si>
    <t>Ne mažiau nustatyto šalies vidurkio proc</t>
  </si>
  <si>
    <t>Paskiepytų vaikų dalis nuo visų prirašytų įstaigoje vaikų, proc</t>
  </si>
  <si>
    <t>Vaikų (6-14 metų), kurių krūminiai dantys padengti silantinėmis medžiagomis, dalis nuo visų  šią paslaugą gauti turinčių asmenų, proc.</t>
  </si>
  <si>
    <t>Paskiepytų rizikos grupei priskiriamų asmenų dalis nuo turinčių teisę į šią paslaugą, proc</t>
  </si>
  <si>
    <t>Informuotų apie suplanuotą vizitą pacientų dalis, proc</t>
  </si>
  <si>
    <t>Vaikų, patikrintų profilaktiškai dalis, proc</t>
  </si>
  <si>
    <t>Laukimo eilė pas sveikatos priežiūros specialistą, d.d.</t>
  </si>
  <si>
    <t>Iki 7 d.d.</t>
  </si>
  <si>
    <t>Iki 5 d.d.</t>
  </si>
  <si>
    <t>Iki 6 d.d.</t>
  </si>
  <si>
    <t>Suteiktų ambulatorinių slaugos paslaugų namuose skaičiaus didėjimas,  proc.</t>
  </si>
  <si>
    <t>Pirminio lygio ambulatorinėms asmens sveikatos priežiūros paslaugoms gauti registracijų atliekama IPR IS, proc. dali</t>
  </si>
  <si>
    <t>Pacientų, užregistruotų pacientų laukimo eilėje skaičius, vnt</t>
  </si>
  <si>
    <t>Patirtos sąnaudos  asmens sveikatos priežiūros, priežiūros profesinės kvalifikacijos tobulinimui</t>
  </si>
  <si>
    <t>Ne mažiau kaip 0.5 darbo užmokesčio sąnaudų neįskaitant darbdavio socialinio draudimo įmokų</t>
  </si>
  <si>
    <t>Vykdoma nepageidaujamų įvykių registracija, proc.</t>
  </si>
  <si>
    <t>Įstaigos naudojamos medicininės įrangos dalis nuo visos įstaigos naudojamos įrangos ne senesnė nei 5 m., proc</t>
  </si>
  <si>
    <t>Asmenų, turinčių priklausomybę nuo opioidų gydymo metadonu skaičius, vnt</t>
  </si>
  <si>
    <t>Asmenų, gavusių psichiatrijos dienos stacionaro paslaugas skaičius, vnt.</t>
  </si>
  <si>
    <t>Įstaiga įtraukta į Skaidrių asmens sveikatos priežiūros įstaigų sąrašą</t>
  </si>
  <si>
    <t>Įgyvendintų įstaigos infrastruktūrą ir procesus atnaujinančių projektų skaičius, vnt.</t>
  </si>
  <si>
    <t xml:space="preserve">2025 m. </t>
  </si>
  <si>
    <t>2025-2027 m.</t>
  </si>
  <si>
    <t>8000 (2024)</t>
  </si>
  <si>
    <t xml:space="preserve">0,1 (2024) </t>
  </si>
  <si>
    <t xml:space="preserve">4 (2024) </t>
  </si>
  <si>
    <t>1,64 (2024)</t>
  </si>
  <si>
    <t>21 (2024)</t>
  </si>
  <si>
    <t xml:space="preserve">3. </t>
  </si>
  <si>
    <t>Siekti supaparastinti procesus  vykdant teisės aktuose nustatytus informacinius įpareigojimus, peržiūrėti priimtus Visagino savivaldybės tarybos sprendimus, reglamentuojančius administracinių paslaugų teikimo aprašymus, ir įvertinus perteklinius informacinius įpareigojimus (ataskaitų teikimo dažnumą, popierinių dokumentų teikimą, terminus ir pan.) juos atnaujinti</t>
  </si>
  <si>
    <t>Esant poreikiui įvertinti teisės aktų sukeliamą administraciną naštą ir ją įvertinti</t>
  </si>
  <si>
    <t xml:space="preserve"> Pagal poreikį </t>
  </si>
  <si>
    <t xml:space="preserve">Įgyyvendinant priemonę planuojama vykdyti neįgaliųjų asmenų poilsiui (maudymosi) sukurtos infrastruktūros priežiūrą Visagino ežere bei įrengti 2 keltuvus savivaldybei priklausančių įstaigų baseinuose, esančiuose adresu Vilties g. 5 A ir  Draugystės 10 B. </t>
  </si>
  <si>
    <t>Laikino atokvėpio paslaugos administravimas 
(nauja priemonė)</t>
  </si>
  <si>
    <t>Įgyvendindama strateginius tikslus, savivaldybė vykdo investicinius projektus, kuriems finansuoti buvo imamos ilgalaikės paskolos iš bankų. Vykdant šią priemonę, mokamos paskolos ir palūkanos pagal pasirašytas kredito linijos sutartis ir banko paslaugos už sąskaitų aptarnavimą.</t>
  </si>
  <si>
    <t xml:space="preserve">Įgyvendinant priemonę bus įgyvendinamas Visagino savivaldybės korupcijos prevencijos 2025–2027 metų veiksmų planas. </t>
  </si>
  <si>
    <t xml:space="preserve">Įgyvendinant priemonę planuojama diegti pažangias ir šiuolaikines priemones informacinių technologijų srityje. Per 2025-2027 m. laikotarpį planuojama sukurti skaitmeninio miesto dvynio informacinę sistemą,  modernizuoti savivaldybės posėdžių sales įrengiant kondicionavimo sistemą, atnaujinti svetainę www. visaginas.lt, diegti naujus modelius dokumentų valdymo sistemoje. Taip pat įgyvendinti priemones pagal atsiradusį poreikį. </t>
  </si>
  <si>
    <t>Siekiant įgyvendinti šią priemonę 2025 m. planuojama rengti strateginio planavimo bei rinkodaros dokumentus.  Taip pat, įgyvendinant šią priemonę, pagal poreikį planuojama rengti savivaldybės objektų kompleksinio sutvarkymo koncepcijas ir vizualizacijas.</t>
  </si>
  <si>
    <t>Savivaldybės išorinės komunikacijos medijų skaičius</t>
  </si>
  <si>
    <t xml:space="preserve">Savivaldybės administracijos ir/arba savivaldybės švietimo įstaigų dalyvavimas Švietimo, mokslo ir sporto ministerijos ar jos reguliavimo sričiai priskirtų įstaigų įgyvendinamuose projektuose partnerių pozicijoje tobulinant žmogiškuosius išteklius bei turtinant ugdymo aplinkas, dalyvavimas kituose projektuose, taip pat ir tarptautiniuose. 2025 m. planuojama įgyvendinti projektus pagal jau pasirašytas partnerystės sutartis projektų įgyvendinimui:
-Spalvotosios emocijos ("Colorful emotions") (Interreg programa) (įgyvendina "Auksinis gaidelis"). </t>
  </si>
  <si>
    <t xml:space="preserve">Įgyvendinant šią priemonę planuojama dalyvauti „Tūkstantmečio mokyklų“ programos įgyvendinime (toliau tekste – Programa), kurios pagrindinis tikslas iki 2030 m. kiekvienoje Lietuvos savivaldybėje sukurti integralias, optimalias ir kokybiškas ugdymo sąlygas mokinių atotrūkiams mažinti. Programos I etapo  pradžia 2022 m. sausio 2 d., pabaiga 2026 m. rugpjūčio 31 d.  Projekto veiklų įgyvendinimo pabaiga 2025 m. birželio 30 d. </t>
  </si>
  <si>
    <t>Projekto tikslas - padidinti ugdymo prieinamumą atskirtį patiriantiems vaikams, pritaikant progimnazijų infrastruktūrą neįgaliesiems.
Projekto metu planuojama dvi savivaldybės progimnazijas, jų patalpas  visiškai pritaikyti laisvai ir savarankiškai į jas patekti ir po jas judėti asmenims, turintiems įvairias negalias. Visiškai pritaikyta mokykla bus laikoma tada, kai nebus jokių fizinių kliūčių (arba jos kompensuotos alternatyviomis judėjimą lengvinančiomis priemonėmis), ribojančių savarankišką patekimą į pastatą ir judėjimą pastato viduje visose erdvėse, nepriklausomai nuo asmens turimų judėjimo galimybių.
Projekto tikslinė grupė – dviejų savivaldybės progimnazijų mokiniai, jų tėvai ir pedagogai.</t>
  </si>
  <si>
    <t>Visagino savivaldybės užimtumo didinimo programos administravimas</t>
  </si>
  <si>
    <t>ES, KT</t>
  </si>
  <si>
    <t>es</t>
  </si>
  <si>
    <t>459 ugdytiniai</t>
  </si>
  <si>
    <t>303 ugdytiniai</t>
  </si>
  <si>
    <t xml:space="preserve">150 ugdytinių </t>
  </si>
  <si>
    <t xml:space="preserve">82 ugdytiniai </t>
  </si>
  <si>
    <t>23 ugdytiniai</t>
  </si>
  <si>
    <t>62 ugdytiniai</t>
  </si>
  <si>
    <t xml:space="preserve">333 ugdytiniai </t>
  </si>
  <si>
    <t>12 (2024)</t>
  </si>
  <si>
    <t>Visagino savivaldybės 2025–2027 metų strateginį veiklos planą sudaro 10 įvairius savivaldybės veiklos sektorius apimančių programų. Kiekvienoje programoje iškelti trejų metų veiklos strateginiai uždaviniai, suformuluotos priemonės ir konkretizuoti rezultatų pasiekimo rodikliai. Programos buvo pasirinktos,susisteminus ir apibendrinus  vietos savivaldos principus, savivaldybės instituciją ir jos kompetenciją, numatytas vykdyti funkcijas, savivaldybės mero, savivaldybės tarybos nario statusą, savivaldybių ūkinės ir finansinės veiklos pagrindus, taip pat išanalizavus viešojo administravimo sritis, viešojo administravimo subjektų sistemą ir administracinės procedūros organizavimo pagrindus.</t>
  </si>
  <si>
    <t>1.1. savivaldybės biudžeto lėšos (nuosavos, be ankstesnių metų likučio), iš jų:</t>
  </si>
  <si>
    <t>1.2. Lietuvos Respublikos valstybės biudžeto dotacijos, iš jų:</t>
  </si>
  <si>
    <t xml:space="preserve">1.1.1. Aplinkos apsaugos rėmimo specialiosios programos lėšos </t>
  </si>
  <si>
    <t>1.2.1. Valstybinės (valstybės perduotos savivaldybėms) funkcijos (D)</t>
  </si>
  <si>
    <t>1.1.2. Savivaldybių mokykloms (klasėms arba grupėms), skirtoms šalies (regiono) mokiniams, turintiems specialiųjų ugdymosi poreikių, ir kitoms savivaldybėms perduotoms įstaigoms išlaikyti</t>
  </si>
  <si>
    <t>1.1.3. Valstybės biudžeto lėšos ir kitos dotacijos  (SD)</t>
  </si>
  <si>
    <t>Civilinės saugos administravimas
(pakoreguotas priemonės pavadinimas)</t>
  </si>
  <si>
    <t xml:space="preserve">Savivaldybei priskirtos valstybinės žemės ir kito valstybės turto valdymas, naudojimas ir disponavimas juo patikėjimo teise 
(pavadinimas pakoreguotas) </t>
  </si>
  <si>
    <t>2025 m. Visagino savivaldybės asignavimai iš valstybės biudžeto specialios tikslinės dotacijos savivaldybių biudžetams lėšų (SB) D</t>
  </si>
  <si>
    <t xml:space="preserve">Įgyvendinant šią priemonę bus organizuojamos:
-sportinės varžybos,
-miesto šventės sporto renginių dalis,
-Lietuvos mokyklų sporto žaidynės,
-vykdomas metinis sporto renginių planas,
-dalyvavimas tarptautiniuose turnyruose. Taip pat organizavimas tokių renginių kaip ralis, trenkturas, vandens motociklų varžybos, dviračių žygiai  ir kt. </t>
  </si>
  <si>
    <t>Visagino savivaldybės 2025 m. asignavimai iš valstybės biudžeto lėšų ir kitų dotacijų  (SD)</t>
  </si>
  <si>
    <t>Projekto „Užsienio kilmės Lietuvos gyventojų integracijos procesų koordinavimo plėtra Lietuvos Respublikos savivaldybėse“ įgyvendinimas
(nauja priemonė)</t>
  </si>
  <si>
    <t xml:space="preserve">Socialinės paramos programa  (06) </t>
  </si>
  <si>
    <t xml:space="preserve">Fizinių ar juridinių asmenų, perdavusių savo būstą ar patalpas neatlygintinai naudotis panaudos pagrindais dėl karinių veiksmų iš Ukrainos pasitraukusiems gyventojams kompensacijoms </t>
  </si>
  <si>
    <t xml:space="preserve">Projekto „Visagino socialinių paslaugų centro infrastruktūros, skirtos senyvo amžiaus asmenims, modernizavimas" įgyvendinimas
(pakoreguotas projekto pavadinimas) 
</t>
  </si>
  <si>
    <t xml:space="preserve">Įgyvendintų priemonių skaičius  </t>
  </si>
  <si>
    <t>Įgyvendinta priemonių, skatinančių komunalinių atliekų rūšiajamojo atliekų surinkimo pajėgumo plėtrą</t>
  </si>
  <si>
    <t xml:space="preserve">
Atsižvelgiant į praėjusius metus Visagino savivaldybėje yra pagaunama 100-150 bešeimininkių gyvūnų (2021 m. - 140, 2022 m. - 129/43, 2023 m. - 114/139), dalis jų yra kastruojama/sterilizuojama ir paleidžiami atgal, dalis lieka gyvūnų globos namuose ar atiduodami kitiems globėjams, dalis yra ženklinami mikroschemomis. Vadovaujantis 2024-04-16 sutartimi Nr. 5-181 vieno gyvūno sugavimas kainuoja 216,12 Eur., gyvūno ženklinimas 20 Eur., vadovaujantis 2024-04-16 sutartimi Nr. 5-180 kastravimas/sterilizavimas ir paleidimas atgal 127,14 Eur. 
</t>
  </si>
  <si>
    <t>Įgyvendinant šią priemonę numatoma šalinti pavojų keliančius ir sergančius medžius,
įsigyti ir veisti naujus želdinius, šalinti kelmus, prižiūrėti rekonstruotos Sedulinos al. dalies žaliųjų plotų priežiūrą, vykdyti miškų priežiūrą ir tvarkymą.</t>
  </si>
  <si>
    <t xml:space="preserve">
Įgyvendinant priemonę bus vykdomas 2022-11-24 Visagino savivaldybės tarybos sprendimo Nr. TS- 195 "Dėl Visagino savivaldybės tarybos 2009 m. spalio 8 d. sprendimo Nr. TS-211 „Dėl triukšmo prevencijos Visagino savivaldybės viešosiose vietose taisyklių patvirtinimo“ pakeitimo" įgyvendinimas bei esant poreikiui bus atliekami triukšmo, kylančio atliekant statybos darbus gyvenamosiose patalpose ir gyvenamosiose teritorijose, taip pat patalpose ir  teritorijose, kuriose privaloma laikytis nustatytų triukšmo ribinių dydžių matavimai.</t>
  </si>
  <si>
    <t xml:space="preserve">Įgyvendinant priemonę pagal poreikį ir esamas lėšas gali būti vykdomas:
-bendrojo ugdymo, papildomojo ugdymo bei kitų mokymo (ugdymo) įstaigų patalpų remontas ir avariniai darbai;
-ikimokyklinio ugdymo įstaigų patalpų remontas ir avariniai darbai;
-sporto įstaigų patalpų remontas ir avariniai darbai;
-kultūros įstaigų patalpų remontas ir avariniai darbai;
-socialines paslaugas teikiančių įstaigų patalpų remontas ir avariniai darbai;
-sveikatos priežiūros įstaigų patalpų remontas ir avariniai darbai;
-savivaldybės administracijos patalpų remontas ir avariniai darbai;
-kitų įstaigų patalpų ir objektų remontas ir avariniai darbai.
</t>
  </si>
  <si>
    <t xml:space="preserve">Užtikrinta fontano veikla ir priežiūra </t>
  </si>
  <si>
    <t>Įgyvendinant priemonę bus nugriauti nebaigti statyti 4 vietų garažo pamatai (2024-12-19 TS-237).</t>
  </si>
  <si>
    <t xml:space="preserve">Įgyvendinamos programos  
pagal 2023-2030 m. plėtros plano prioritetinius tikslus </t>
  </si>
  <si>
    <t>2026 m. išlaidų planas, tūkst. Eur</t>
  </si>
  <si>
    <t>2027 m. išlaidų planas, tūkst. Eur</t>
  </si>
  <si>
    <t xml:space="preserve">Proc. nuo bendro poreikio tikslui įgyvendinti 2025 m. </t>
  </si>
  <si>
    <t xml:space="preserve">Proc. nuo bendro poreikio tikslui įgyvendinti 2026 m. </t>
  </si>
  <si>
    <t xml:space="preserve">Proc. nuo bendro poreikio tikslui įgyvendinti 2027 m. </t>
  </si>
  <si>
    <t>1475 Eur (2023)*</t>
  </si>
  <si>
    <t>908 Eur  (2023)*</t>
  </si>
  <si>
    <t>11,28 (2023)*</t>
  </si>
  <si>
    <t>232,7 (2023)*</t>
  </si>
  <si>
    <t>4 (2024)</t>
  </si>
  <si>
    <t>63,05 (2024)</t>
  </si>
  <si>
    <t>8,71 (2024)</t>
  </si>
  <si>
    <t xml:space="preserve">*Duomenys yra tik už 2023 m. </t>
  </si>
  <si>
    <t xml:space="preserve">3 lentelė. 2025-2027 metų asignavimų ir kitų lėšų pasiskirstymas pagal programas (tūkst. eurų) </t>
  </si>
  <si>
    <t>4 lentelė.  Valdymo tobulinimo programos  (01) uždaviniai, priemonės, asignavimai ir kitos lėšos (tūkst.eurų) ir jų stebėsenos rodikliai</t>
  </si>
  <si>
    <t>5 lentelė.Švietimo paslaugų plėtros programos  (02) uždaviniai, priemonės, asignavimai ir kitos lėšos (tūkst.eurų) ir jų stebėsenos rodikliai</t>
  </si>
  <si>
    <t>6 lentelė. Fizinio aktyvumo ir sporto plėtros programos  (03) uždaviniai, priemonės, asignavimai ir kitos lėšos (tūkst.eurų) ir jų stebėsenos rodikliai</t>
  </si>
  <si>
    <t>7 lentelė. Gyventojų kultūrinio aktyvumo skatinimo ir identiteto stiprinimo programos (04) uždaviniai, priemonės, asignavimai ir kitos lėšos (tūkst.eurų) ir jų stebėsenos rodikliai</t>
  </si>
  <si>
    <t>8 lentelė.Visagino savivaldybės bendruomeniškumo skatinimo programos (05) uždaviniai, priemonės, asignavimai ir kitos lėšos (tūkst.eurų) ir jų stebėsenos rodikliai</t>
  </si>
  <si>
    <t>9 lentelė. Socialinės paramos programos  (06) uždaviniai, priemonės, asignavimai ir kitos lėšos (tūkst.eurų) ir jų stebėsenos rodikliai</t>
  </si>
  <si>
    <t>10 lentelė. Visagino savivaldybės sveikatos apsaugos paslaugų kokybės gerinimo programos (07) uždaviniai, priemonės, asignavimai ir kitos lėšos (tūkst.eurų) ir jų stebėsenos rodikliai</t>
  </si>
  <si>
    <t>11 lentelė. Aplinkos apsaugos programos (08) uždaviniai, priemonės, asignavimai ir kitos lėšos (tūkst.eurų) ir jų stebėsenos rodikliai</t>
  </si>
  <si>
    <t>12 lentelė. Ekonominės plėtros programos (09) uždaviniai, priemonės, asignavimai ir kitos lėšos (tūkst.eurų) ir jų stebėsenos rodikliai</t>
  </si>
  <si>
    <t>13 lentelė. Viešosios infrastruktūros programos  (10) uždaviniai, priemonės, asignavimai ir kitos lėšos (tūkst.eurų) ir jų stebėsenos rodikliai</t>
  </si>
  <si>
    <t>14 lentelė. Planuojami pasiekti pagrindiniai įstaigų/įmonių veiklos rodikliai</t>
  </si>
  <si>
    <t>Naminių gyvūnų ir bešeimininkių gyvūnų gerovės užtikrinimas bei 
reikalingos infrastruktūros įrengimas</t>
  </si>
  <si>
    <t>Įgyvendinant priemonę planuojama atliekų surinkimo konteinerių aikštelių, numatytų Atliekų surinkimo konteinerių aikštelių plėtros galimybių studijoje, įrengimas (11 vnt.), dalies esamų antžeminių konteinerių ("varpelio" formos), nes susidėvėjo įsigijimas ir pakeitimas, kompostavimo dėžių įsigijimas ir išdalinimas  sodininkams. Taip pat išlaidos planuojamos naujai atsiradusiam mokesčiui už biodegraduojančias atliekas apmokėti.</t>
  </si>
  <si>
    <t>1. Konkurencingo verslo skatinimas ir vietinės ekonomikos tvari plėtra
2. Socialinės gerovės kūrimas sumaniai, pažangiai, besimokančiai, moderniai ir laimingai bendruomenei
3. Tvarus, subalansuotas savivaldybės aplinkos vystymas ir plėtra</t>
  </si>
  <si>
    <t>Įgyvendinti priemones turinčias įtakos, ugdymo proceso kokybei, skirtas tęstiniam mokymuisi</t>
  </si>
  <si>
    <t>Sudaryti sąlygas  ugdyti vaikus ikimokyklinio, bendrojo ugdymo ir neformalaus švietimo įstaigose pagal patvirtintas ugdymo programas, teikti pedagoginę, psichologinę, metodinę, aprūpinimo transportu ir kitą pagalbą mokiniams, mokytojams ir mokykloms</t>
  </si>
  <si>
    <t>~1780</t>
  </si>
  <si>
    <t xml:space="preserve"> Socialines paslaugas gavusių asmenų skaičius proc. nuo bendro gyventojų skaičiaus</t>
  </si>
  <si>
    <t xml:space="preserve"> Visagino kaip monoindustrinio miesto urbanistikos, daugiatautį kultūros paveldą ir tradicijas perdavimas per turizmo ir edukacines veiklas</t>
  </si>
  <si>
    <t>10 (naujas planas)</t>
  </si>
  <si>
    <t>Visagino savivaldybės ugdymo įstaigų, dalyvavusių "Tūkstantmečio mokyklų" programos veiklose, skaičius</t>
  </si>
  <si>
    <t>Asmenų, dalyvavusių aukšto lygio sporto varžybose dalis proc. nuo visų gyventojų</t>
  </si>
  <si>
    <t>Visuomenės sveikatos stiprinimo veiklose dalyvavusios tikslinės grupės dalis (proc.)</t>
  </si>
  <si>
    <t>Didėjantis arba ne mažesnis kaip 80,0 proc. (2030)</t>
  </si>
  <si>
    <t>Didėjantis arba ne mažesnis kaip 25 proc. (2030)</t>
  </si>
  <si>
    <t>Teikiamų socialinių paslaugų rūšių (bendrųjų socialinių paslaugų, socialinės priežiūros paslaugų, socialinės globos paslaugų ir kt.) skaičius (vnt.)</t>
  </si>
  <si>
    <t>24 socialinės paslaugos pagal socialinių paslaugų katalogą + 3 paslaugos, kurios nepatenka į socialinių paslaugų katalogą, iš viso 27 (2024)</t>
  </si>
  <si>
    <t>Atnaujintų (modernizuotų) daugiabučių namų nuo bendro nerenovuotų daugiabučių namų skaičiaus dalis proc.</t>
  </si>
  <si>
    <t xml:space="preserve">III SKYRIUS. LĖŠŲ DALIS, TENKANTI 2025-2027 M. STRATEGINIAME VEIKLOS PLANE, SKIRTA  2023-2030 M. SAVIVALDYBĖS PLĖTROS PLANE 
NUMATYTIEMS PRIORITETINIAMS TIKSLAMS ĮGYVENDINTI </t>
  </si>
  <si>
    <t xml:space="preserve">2 lentelė. Lėšų dalis, tenkanti 2025-2027 m. SVP 2023-2030 m. plėtros plano prioritetiniams tikslams įgyvendinti </t>
  </si>
  <si>
    <t xml:space="preserve">
IV SKYRIUS
PLANUOJAMI PASIEKTI REZULTATAI
</t>
  </si>
  <si>
    <t xml:space="preserve">
V SKYRIUS
PROGRAMOS
</t>
  </si>
  <si>
    <t xml:space="preserve">Žygių maršrutų  „Visaginas. Miestas miške - miškas mieste" sukūrimas, integracija į funkcinės zonos VIZA ir Utenos regiono bendrus turizmo maršrutus, priėjimų prie lankomų/gamtos objektų įrengimas, atokvėpio/stebėjimo vietų įrengimas </t>
  </si>
  <si>
    <t>Visagino kaip postbranduolinės erdvės paveldo išsaugojimas, aktualizavimas, pristatymas</t>
  </si>
  <si>
    <t xml:space="preserve"> Socialinės gerovės kūrimas sumaniai, pažangiai, besimokančiai, moderniai ir laimingai bendruomenei</t>
  </si>
  <si>
    <t>Ikimokyklinio ugdymo įstaigų tinklo, kuriant naujas ugdymo vietas, stiprinimas</t>
  </si>
  <si>
    <t>Visagino savivaldybės priemonių, numatytų „Tūkstantmečio mokyklų“ Visagino ir Ignalinos rajono savivaldybių Švietimo pažangos plane, įgyvendinimas</t>
  </si>
  <si>
    <t>Asmens sveikatos priežiūros įstaigų paslaugų infrastruktūros bei įrangos, siekiant didesnės ir aukštesnės paslaugų aprėpties, įvairovės ir kokybės, plėtojimas, modernizavimas ir atnaujinimas (Visagino sveikatos centro veiklos vystymas)</t>
  </si>
  <si>
    <t>Vietos savivaldai priimant sprendimus integruotai ir tolygiai formuoti nevyriausybinių ir bendruomeninių organizacijų veiklai palankią aplinką savivaldybėje (Dalyvaujamojo biudžeto priemonių vykdymas )</t>
  </si>
  <si>
    <t>Viešosios naudos nevyriausybinių ir bendruomeninių organizacijų institucinio stiprinimo projektų (gebėjimai, lyderystė, sąlygos viešosios naudos organizacijų veiklos tvarumui užtikrinti, socialinis verslas ir kt. ) - vietos veiklos grupių strategijų įgyvendinimas</t>
  </si>
  <si>
    <t>Inovatyvių sprendimų ir būdų, savivaldybėje ir jos įstaigose galinčių padidinti viešojo efektyvumo valdymo efektyvumą diegimas (miesto dvynio informacinės sistemos sukūrimas)</t>
  </si>
  <si>
    <t xml:space="preserve"> Daugiafunkcių viešųjų erdvių poilsio, rekreacijos ir kultūros poreikiams įrengimas, modernizavimas ir /ar atnaujinimas </t>
  </si>
  <si>
    <t>Komunalinių, rūšiuojamųjų, žaliųjų atliekų, atliekų, tinkamų  paruošimui pakartotiniam naudojimui, surinkimo pajėgumų bei apdorojimo plėtra Visagino savivaldybėje, keičiant į kitus energetinius šaltinius</t>
  </si>
  <si>
    <t>Programos tikslas - įgyvendinti  Lietuvos Respublikos Konstitucijos ir įstatymų nustatytas, Lietuvos Respublikos vietos savivaldos įstatymo reglamentuotas savarankiškąsias savivaldybės bei valstybines (valstybės perduotas savivaldybei) funkcijas. Siekiant užtikrinti, kad minėtos funkcijos būtų vykdomos kokybiškai, ypatingas dėmesys skiriamas šiuolaikiniams vadybos metodams ir informacinėms technologijoms diegti savivaldybėje; vykdomų procedūrų viešumui ir skaidrumui; kontroliuoti ir prižiūrėti, ar teisėtai, efektyviai, ekonomiškai ir rezultatyviai valdomas ir naudojamas savivaldybės turtas ir patikėjimo teise valdomas valstybės turtas, kaip vykdomas savivaldybės biudžetas ir naudojami kiti piniginiai ištekliai. Efektyviai savivaldybės veiklai būtinas racionalus finansinių, materialinių ir žmogiškųjų išteklių paskirstymas, sistemingas veiklos planavimas</t>
  </si>
  <si>
    <t>Programos įgyvendinimo koordinatorė Jolita Kriaučiūnaitė, jolita.kriauciunaite@visaginas.lt, tel.  (0 386) 36 008</t>
  </si>
  <si>
    <t>Atliktų Visagino savivaldybės konsoliduotųjų ataskaitų rinkinio, savivaldybės biudžeto ir turto naudojimo, savivaldybės nuosavybės teise valdomo nekilnojamojo turto valdymo, naudojimo ir disponavimo juo efektyvumo auditų skaičius</t>
  </si>
  <si>
    <t>Užtikrinti valstybinių  (valstybės perduotų savivaldybėms) funkcijų vykdymą</t>
  </si>
  <si>
    <t>Lietuvos Respublikos valstybės biudžeto dotacijų skyrimo asmenų su negalia reikalų koordinavimo funkcijos atlikimui finansuoti tvarkos aprašo, patvirtinto Lietuvos Respublikos socialinės apsaugos ir darbo ministro 2023 m. gruodžio 18 d. įsakymo Nr. A1-858  „Dėl Lietuvos Respublikos valstybės biudžeto dotacijų skyrimo asmenų su negalia reikalų koordinavimo funkcijos atlikimui finansuoti tvarkos aprašo patvirtinimo", įgyvendinimo užtikrinimas</t>
  </si>
  <si>
    <t xml:space="preserve">Vykdant šią priemonę, planuojama ir grąžinama dotacija, kuri buvo skirta Visagino savivaldybės projektams įgyvendinti. Skirta dotacija turi būti grąžinta po projektų įgyvendinimo. Grąžintiną dotacijos sumą nustato UAB Viešųjų investicijų plėtros agentūra (VIPA) vadovaudamasi Aprašo priede nustatyta vertinimo metodika. Dotacija grąžinama du kartus per metus pradedant ją grąžinti ateinančiais metais po projekto įgyvendinimo pabaigos iki einamųjų metų birželio 30 dienos ir gruodžio 10 dienos. 2025 m. bus grąžinama dotacija, kuri buvo skirta įgyvendinti 12 projektų. 2026 m. 10 , 2027 m. 7 projektus. </t>
  </si>
  <si>
    <t xml:space="preserve">Projekto  „Unikalios skaitmeninės Visagino savivaldybės kapinių duomenų bazės sukūrimas, jos atvėrimas gyventojams ir laidojimo viešųjų paslaugų bei duomenų administravimo procesų skaitmeninimas" įgyvendinimas </t>
  </si>
  <si>
    <t>Įgyvendinant Visagino savivaldybės administracinės naštos priemonių planą 2024 m.  buvo pradėtas įgyvendinti projektas "Unikalios skaitmeninės Visagino savivaldybės kapinių duomenų bazės sukūrimas, jos atvėrimas gyventojams ir laidojimo viešųjų paslaugų bei duomenų administravimo procesų skaitmeninimas". Projekto įgyvendinimas finansuojamas Ekonomikos gaivinimo ir atsparumo didinimo plano „Naujos kartos Lietuva“ lėšomis bei valstybės biudžeto lėšomis. Projekto vertė – 57 999,32 Eur. Projekto tikslas – įstaigos veiklos tobulinimas, sukuriant elektroninių paslaugų kokybę gerinančias priemones išorės vartotojams, bei darbuotojų, dirbančių su laidojimo paslaugų teikimo gyventojams procesų administravimu, darbo efektyvumo didinimas.</t>
  </si>
  <si>
    <t>Užtikrintas teisės aktų reikalavimų laikymasis</t>
  </si>
  <si>
    <t>Įgyvendinat priemonę planuojama skirti daugiau dėmesio Visagino savivaldybės įvaizdžiui užsienio šalyse formuoti ir savivaldybės veiklos užsienio ryšių klausimams koordinuoti, taip pat kviesti miestų partnerių atstovus į kultūros ir sporto renginius, plėsti bendradarbiavimo su užsienio parneriais ratą. Stiprinti tarptautinį bendradarbiavimą bendradarbiaujant vietos valdžios institucijoms, keičiantis gerąja patirtimi, ieškant pažangių sprendimų, kuriant ir diegiant inovacijas ir kt.</t>
  </si>
  <si>
    <t xml:space="preserve">
Programos įgyvendinimo koordinatorė Monika Gutė, monika.gute@visaginas.lt, tel.  ( 0386) 36 016
</t>
  </si>
  <si>
    <t>Programos įgyvendinimo koordinatorė Monika Gutė, monika.gute@visaginas.lt, tel. (0 386) 36 016</t>
  </si>
  <si>
    <t xml:space="preserve">Įgyvendinant šią priemonę bus vykdoma 2023-03-10 Visagino savivaldybės tarybos sprendimu Nr. TS-37 „Dėl Muziejinės veiklos tęstinumo Visagino savivaldybėje programos patvirtinimo" patvirtinta Muziejinės veiklos tęstinumo Visagino savivaldybėje programa ir užtikrintas 2024 m. lapkričio 21 d. VSA tarybos sprendimo Nr. TS-186 "Kultūros ir meno projektų finansavimo Visagino savivaldybės biudžeto lėšomis tvarkos aprašo" 18.3 srities  „Muziejinės veiklos stiprinimas Visagino savivaldybėje" įgyvendinimas. </t>
  </si>
  <si>
    <t xml:space="preserve">Programos įgyvendinimo koordinatorė Kristina Gedžiūnaitė, kristina.gedziunaite@visaginas.lt, tel. ( 0 386) 33 415 
</t>
  </si>
  <si>
    <t>2025 m. Visagino miesto šventė vyks 50-ąjį kartą. Siekiama užtikrinti patrauklią programą, kuri įtrauktų įvairaus amžiaus gyventojus, svečius, socialinius partnerius, bendruomenes.</t>
  </si>
  <si>
    <t>Įgyvendinant šią priemonę bus organizuojami renginiai skirti Lietuvos Respublikos  Seimo sprendimais minėtinų svarbių datų, įvykių ir asmenybių sukakčių paminėjimui.</t>
  </si>
  <si>
    <t xml:space="preserve">Įgyvendinant šią priemonę Visagino kultūros centras organizuos Visagino erdvių festivalį, šiuolaikinio cirko festivalį „Naujojo cirko stotelė“, Tarptautinis monospektaklių festivalį „Atspindys“,Senjorų šokių festivalis „Laiko karoliai“ ir kt. </t>
  </si>
  <si>
    <t xml:space="preserve">Programos įgyvendinimo koordinatoriai
Kristina Gedžiūnaitė, kristina.gedziunaite@visaginas.lt, tel. ( 0 386) 33415
Evelina Visockytė, evelina.visockytė@visaginas.lt, tel. ( 0 386) 36 017
Danutė Kotovienė, danutė.kotoviene@visaginas.lt., tel. 8 (386) 31 587
Valentina Raubiškienė, valentina.raubiskiene@visaginas.lt, tel. 8 (386) 31 372
</t>
  </si>
  <si>
    <t xml:space="preserve">Programos įgyvendinimo koordinatorė Jolita Zabulytė, jolita.zabulyte@visaginas.lt, tel. (0 386) 36 007
</t>
  </si>
  <si>
    <t xml:space="preserve">
Programos įgyvendinimo koordinatorė Jolita Zabulytė, jolita.zabulyte@visaginas.lt, tel. (0 386) 36 007
</t>
  </si>
  <si>
    <t xml:space="preserve"> Įgyvendinant priemonę vykdomas 12918 mokėtojų administravimas.  Taip pat įgyvendinama 2022-12-01 sutartis Nr. 5-574 „Komunalinių atliekų surinkimo Visagino savivaldybės teritorijoje ir jų vežimo į apdorojimo įrenginius paslaugų sutartis",  2023-06-15 Visaginos savivaldybės tarybos sprendimas Nr. TS-131 "Dėl Visagino savivaldybės tarybos 2021 m. gruodžio 23 d. sprendimo Nr. TS-266 „Dėl Visagino savivaldybės vietinės rinkliavos už komunalinių atliekų surinkimą iš atliekų turėtojų ir atliekų tvarkymą dydžio nustatymo metodikos, Visagino savivaldybės vietinės rinkliavos už komunalinių atliekų surinkimą iš atliekų turėtojų ir atliekų tvarkymą nuostatų patvirtinimo“ pakeitimo ir 2022-11-24 Visaginos savivaldybės tarybos sprendimas Nr. TS-198 „Dėl uždarosios akcinės bendrovės „Visagino būstas“ teikiamų komunalinių atliekų tvarkymo paslaugų kainų sąrašo patvirtinimo".</t>
  </si>
  <si>
    <t xml:space="preserve">Planuojamos įgyvendinti priemonės:
1) Visagino savivaldybės aplinkos monitoringo programos priemonių įgyvendinimas ir aplinkos monitoringo duomenų bazės tvarkymas ir priežiūra.
2) Visagino ežero dugno valymas (6000 kv.m)
3) Visagino ežero maudyklos vandens kokybės stebėsena ir paplūdimio smėlio tyrimai.
</t>
  </si>
  <si>
    <t xml:space="preserve">
Programos įgyvendinimo koordinatorės
Danutė Kardelienė, danute.kardeliene@visaginas.lt, tel. (0 386) 61 092
Alicija Gailevskaja, alicija.gailevskaja@visaginas.lt, tel. (0 386) 71 332
</t>
  </si>
  <si>
    <t xml:space="preserve">Programos įgyvendinimo koordinatorės:
Viktorija Abaravičienė, viktorija.abaraviciene@visaginas.lt, tel. (0 386) 60 698
Inga Semionova, inga.semionova@visaginas.lt, tel. (0 386) 61 211
</t>
  </si>
  <si>
    <t xml:space="preserve">Įgyvendinant šią priemonę bus įgyvendinamas projektas „Laisvalaikio ir aktyvaus poilsio erdvės sukūrimas Jaunystės g. 4, Visagine". Po viešųjų pirkimų procedūrų 2024-10-31 sudaryta statybos rangos sutartis Nr. 5-495  dėl dalies Projekte numatytų darbų: paruošiamieji darbai ir sankasos įrengimas, t.y. kalno formavimas. 2025 metais planuojama užbaigti kalno formavimą ir pradėti vykdyti projekto II etapą. </t>
  </si>
  <si>
    <t xml:space="preserve">Programos įgyvendinimo koordinatorės:
Valentina Raubiškienė, valentina.raubiskiene@visaginas.lt, tel. (0 386) 31 372
Viktorija Abaravičienė, viktorija.abaraviciene@visaginas.lt, tel. ( 0 386) 60 698
Inga Semionova, inga.semionova@visaginas.lt, tel. (0 386) 61 211
</t>
  </si>
  <si>
    <r>
      <t xml:space="preserve">Įgyvendinant priemonę bus organizuojami 7 maršrutai:
1. Vietinio (priemiestinio) reguliaraus susisiekimo maršrutai Nr. 1-4 (Visgaino miestas-sodininkų bendrijos "Pavasaris", "Statybininkas", "Vyšnia" ir "Kapinės")
2. Vietinio reguliaraus susisiekimo maršrutas Nr. 5 (Visagino miestas -Lapušiškės kaimas). 
3. Vietinio (miesto) reguliaraus susisiekimo maršrutas Nr. 8 (Visagino miestas)
</t>
    </r>
    <r>
      <rPr>
        <sz val="9"/>
        <color theme="1"/>
        <rFont val="Arial"/>
        <family val="2"/>
      </rPr>
      <t xml:space="preserve">4. Vietinio reguliaraus susisiekimo maršrutas Nr. 6 (Visagino miestas - Makaravo kaimas).
Taip pat užtikrintas autobusų stoties veiklos organizavimas, iki bus atrinktas operatorius. </t>
    </r>
    <r>
      <rPr>
        <sz val="9"/>
        <rFont val="Arial"/>
        <family val="2"/>
      </rPr>
      <t xml:space="preserve">
</t>
    </r>
  </si>
  <si>
    <t xml:space="preserve">Įrengtų priedangų skaičius </t>
  </si>
  <si>
    <t>Lopšelio-darželio „Auksinis gaidelis“, vaikų lopšelių-darželių „Auksinis raktelis“, „Ąžuoliukas“, „Gintarėlis“, „Kūlverstukas“, „Verdenės“ gimnazijos, „Žiburio“ pagrindinės mokyklos, „Atgimimo“ gimnazijos, Draugystės ir „Gerosios vilties“ progimnazijų, Visagino kūrybos ir menų akademijos, Švietimo pagalbos tarnybos veiklos organizavimas ir paslaugų užtikrinimas.  Priemonės įgyvendinimui stebėti stebėsenos rodikliai patvirtinti Visagino savivaldybės švietimo stebėsenos rodiklių sąraše, patvirtintame 2022-03-14 Visagino savivaldybės administracijos direktoriaus įsakymu Nr. ĮV-E- 123 „Dėl Visagino savivaldybės švietimo stebėsenos rodiklių sąrašo patvirtinimo" .</t>
  </si>
  <si>
    <t>Mokinių, besimokančių lopšelyje-darželyje „Auksinis gaidelis“, vaikų lopšeliuose-darželiuose „Auksinis raktelis“, „Ąžuoliukas“, „Gintarėlis“, „Kūlverstukas“ pagal ikimokyklinio ir priešmokyklinio ugdymo programas, „Verdenės“ gimnazijoje, „Žiburio“ pagrindinėje mokykloje, „Atgimimo“ gimnazijoje, Draugystės ir „Gerosios vilties“ progimnazijose pagal pradinio, pagrindinio ir vidurinio ugdymo programas mokymo reikmėms tenkinti, Visagino kūrybos ir menų akademijos neformaliojo vaikų bei formalųjį švietimą papildančio ugdymo programoms įgyvendinti, Švietimo pagalbos tarnybos neformaliojo suaugusiųjų švietimo programoms įgyvendinti, pedagoginei psichologinei pagalbai teikti.  Priemonės įgyvendinimui stebėti stebėsenos rodikliai, patvirtinti Visagino savivaldybės švietimo stebėsenos rodiklių sąraše, patvirtintame 2022-03-14 Visagino savivaldybės administracijos direktoriaus įsakymu Nr. ĮV-E- 123 „Dėl Visagino savivaldybės švietimo stebėsenos rodiklių sąrašo patvirtinimo" .</t>
  </si>
  <si>
    <t xml:space="preserve">Ši priemonė skirta paskatinti gabius Visagino savivaldybės švietimo įstaigose besimokančius mokinius ir jų mokytojus, per vienus mokslo metus pasiekusius puikių rezultatų akademinėje, meno, technologijos srityse. Piniginės išmokos mokamos iš Savivaldybės biudžeto asignavimų, skirtų Savivaldybės strateginio veiklos plano Švietimo paslaugų plėtros programai įgyvendinti.
</t>
  </si>
  <si>
    <t>Visagino savivaldybės bendrojo ugdymo mokyklų tinklo pertvarkos plane numatytų įgyvendinti  priemonių proc., nuo visų planuotų įgyvendinti</t>
  </si>
  <si>
    <t>„Tūkstantmečio mokyklų" Visagino ir Ignalinos rajono savivaldybių švietimo pažangos plane Visagino savivaldybei numatytų priemonių įgyvendinimas proc., nuo visų planuotų įgyvendinti</t>
  </si>
  <si>
    <r>
      <t xml:space="preserve">Projekto „Švietimo ir ugdymo paslaugų plėtra, vystant STEAM ugdymo modelį" įgyvendinimas </t>
    </r>
    <r>
      <rPr>
        <b/>
        <sz val="9"/>
        <color rgb="FFFF0000"/>
        <rFont val="Arial"/>
        <family val="2"/>
      </rPr>
      <t xml:space="preserve">
</t>
    </r>
  </si>
  <si>
    <t xml:space="preserve">Įgyvendinant Funkcinės zonos Visagino savivaldybės, Ignalinos ir Zarasų rajonų savivaldybių teritorijose (VIZA) 2024–2029 m. strategiją, patvirtintą Visagino savivaldybės tarybos 2024 m. birželio 20 d. sprendimu Nr. TS-105 „Dėl Funkcinės zonos Visagino savivaldybės, Ignalinos ir Zarasų rajonų savivaldybių teritorijose (VIZA) 2024–2029 m. strategijos patvirtinimo“.  2025 m. bus tęsiamas projekto veiklų įgyvendinimas. 2025 m. pateikus projekto įgyvendinimo planą ir pasirašius projekto finansavimo ir administravimo sutartį planuojama kompensuoti 141 987, 06 Eur už jau atliktas veiklas  (planuojama deklaruoti suma sudaro  214 340 Eur).  Vykdant Niutono kambarių plėtrą planuojama įrengti likusią patalpų dalį, įsigyti  4 naujus modulius: „Kamanės gyvenimas“ (4-5 metų vaikams), „Tvarus biokuras – iš medienos į energiją“ (16-18 metų vaikams), „Plastikas – nuo ​​makro iki mikro“ (15-16 metų vaikams), „Svorio ir trinties tyrimai“, (8-10 metų vaikams).
Projekto pradžia 2025 m. II ketvirtis, pabaiga 2027 m. II ketvirtis. Bendra projekto vertė 482 353 Eur, iš jų Europos Sąjungos lėšos  410 000  Eur, savivaldybės biudžeto lėšos 72 353 Eur.  Projekto pareiškėjas ir vykdytojas Visagino savivaldybės administracija. Projekto partneris Visagino pagalbos švietimo tarnyba. </t>
  </si>
  <si>
    <t>Mokyklų, kuriose buvo įdiegtos universalaus dizaino ir kitos inžinerinės priemonės, aplinką pritaikant asmenims, su negalia, dalis nuo visų mokyklų“ / procentas</t>
  </si>
  <si>
    <t>Mokyklos, kuriose buvo įdiegtos universalaus dizaino ir kitos inžinerinės priemonės, pritaikant aplinką asmenims, su negalia“ / skaičius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</si>
</sst>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quot;     &quot;;\-#,##0.00&quot;     &quot;;&quot; -&quot;#&quot;     &quot;;@\ "/>
    <numFmt numFmtId="165" formatCode="#,##0.00&quot;    &quot;;\-#,##0.00&quot;    &quot;;&quot; -&quot;#&quot;    &quot;;@\ "/>
    <numFmt numFmtId="166" formatCode="0.000"/>
    <numFmt numFmtId="167" formatCode="0.0"/>
    <numFmt numFmtId="168" formatCode="00"/>
    <numFmt numFmtId="169" formatCode="#,##0.000"/>
    <numFmt numFmtId="170" formatCode="0.0%"/>
    <numFmt numFmtId="171" formatCode="0.0000"/>
  </numFmts>
  <fonts count="139">
    <font>
      <sz val="10"/>
      <name val="Arial"/>
      <family val="2"/>
      <charset val="186"/>
    </font>
    <font>
      <sz val="11"/>
      <color theme="1"/>
      <name val="Calibri"/>
      <family val="2"/>
      <charset val="186"/>
      <scheme val="minor"/>
    </font>
    <font>
      <sz val="11"/>
      <color theme="1"/>
      <name val="Calibri"/>
      <family val="2"/>
      <charset val="186"/>
      <scheme val="minor"/>
    </font>
    <font>
      <sz val="11"/>
      <color indexed="8"/>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TimesLT"/>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b/>
      <sz val="10"/>
      <name val="Times New Roman"/>
      <family val="1"/>
      <charset val="186"/>
    </font>
    <font>
      <sz val="10"/>
      <name val="Times New Roman"/>
      <family val="1"/>
      <charset val="186"/>
    </font>
    <font>
      <sz val="9"/>
      <name val="Times New Roman"/>
      <family val="1"/>
      <charset val="186"/>
    </font>
    <font>
      <sz val="8"/>
      <name val="Times New Roman"/>
      <family val="1"/>
      <charset val="186"/>
    </font>
    <font>
      <sz val="8"/>
      <name val="Arial"/>
      <family val="2"/>
      <charset val="186"/>
    </font>
    <font>
      <sz val="7"/>
      <name val="Times New Roman"/>
      <family val="1"/>
      <charset val="186"/>
    </font>
    <font>
      <b/>
      <i/>
      <sz val="10"/>
      <name val="Times New Roman"/>
      <family val="1"/>
      <charset val="186"/>
    </font>
    <font>
      <b/>
      <sz val="12"/>
      <name val="Times New Roman"/>
      <family val="1"/>
      <charset val="186"/>
    </font>
    <font>
      <sz val="10"/>
      <name val="Arial"/>
      <family val="2"/>
      <charset val="186"/>
    </font>
    <font>
      <sz val="11"/>
      <color theme="1"/>
      <name val="Calibri"/>
      <family val="2"/>
      <charset val="186"/>
      <scheme val="minor"/>
    </font>
    <font>
      <b/>
      <i/>
      <sz val="10"/>
      <color rgb="FFFF00FF"/>
      <name val="Times New Roman"/>
      <family val="1"/>
      <charset val="186"/>
    </font>
    <font>
      <sz val="10"/>
      <color rgb="FF000000"/>
      <name val="Times New Roman"/>
      <family val="1"/>
      <charset val="186"/>
    </font>
    <font>
      <sz val="8"/>
      <color rgb="FF000000"/>
      <name val="Times New Roman"/>
      <family val="1"/>
      <charset val="186"/>
    </font>
    <font>
      <b/>
      <i/>
      <sz val="10"/>
      <color rgb="FF000000"/>
      <name val="Times New Roman"/>
      <family val="1"/>
      <charset val="186"/>
    </font>
    <font>
      <b/>
      <sz val="12"/>
      <color rgb="FF000000"/>
      <name val="Times New Roman"/>
      <family val="1"/>
      <charset val="186"/>
    </font>
    <font>
      <b/>
      <sz val="10"/>
      <name val="Arial"/>
      <family val="2"/>
    </font>
    <font>
      <sz val="12"/>
      <name val="Times New Roman"/>
      <family val="1"/>
    </font>
    <font>
      <i/>
      <sz val="12"/>
      <color rgb="FFFF0000"/>
      <name val="Times New Roman"/>
      <family val="1"/>
    </font>
    <font>
      <i/>
      <sz val="10"/>
      <color rgb="FFFF0000"/>
      <name val="Arial"/>
      <family val="2"/>
    </font>
    <font>
      <sz val="10"/>
      <name val="Arial"/>
      <family val="2"/>
    </font>
    <font>
      <i/>
      <sz val="12"/>
      <name val="Times New Roman"/>
      <family val="1"/>
      <charset val="186"/>
    </font>
    <font>
      <b/>
      <sz val="10"/>
      <name val="Arial"/>
      <family val="2"/>
      <charset val="186"/>
    </font>
    <font>
      <sz val="9"/>
      <name val="Calibri"/>
      <family val="2"/>
      <charset val="186"/>
    </font>
    <font>
      <b/>
      <i/>
      <sz val="10"/>
      <name val="Arial"/>
      <family val="2"/>
    </font>
    <font>
      <b/>
      <sz val="7"/>
      <name val="Arial"/>
      <family val="2"/>
    </font>
    <font>
      <sz val="7"/>
      <name val="Arial"/>
      <family val="2"/>
    </font>
    <font>
      <b/>
      <sz val="7"/>
      <color rgb="FFFF0000"/>
      <name val="Arial"/>
      <family val="2"/>
    </font>
    <font>
      <b/>
      <sz val="7"/>
      <color rgb="FF000000"/>
      <name val="Arial"/>
      <family val="2"/>
    </font>
    <font>
      <b/>
      <i/>
      <sz val="7"/>
      <color rgb="FF000000"/>
      <name val="Arial"/>
      <family val="2"/>
    </font>
    <font>
      <b/>
      <i/>
      <sz val="7"/>
      <name val="Arial"/>
      <family val="2"/>
    </font>
    <font>
      <i/>
      <sz val="7"/>
      <name val="Arial"/>
      <family val="2"/>
    </font>
    <font>
      <sz val="7"/>
      <color rgb="FFFF0000"/>
      <name val="Arial"/>
      <family val="2"/>
    </font>
    <font>
      <sz val="7"/>
      <name val="Arial"/>
      <family val="2"/>
      <charset val="186"/>
    </font>
    <font>
      <b/>
      <sz val="9"/>
      <name val="Arial"/>
      <family val="2"/>
    </font>
    <font>
      <sz val="9"/>
      <name val="Arial"/>
      <family val="2"/>
    </font>
    <font>
      <b/>
      <i/>
      <sz val="9"/>
      <name val="Arial"/>
      <family val="2"/>
    </font>
    <font>
      <i/>
      <sz val="7"/>
      <color rgb="FFFF0000"/>
      <name val="Arial"/>
      <family val="2"/>
    </font>
    <font>
      <sz val="10"/>
      <color rgb="FFFF0000"/>
      <name val="Arial"/>
      <family val="2"/>
    </font>
    <font>
      <sz val="10"/>
      <name val="Ariel"/>
      <charset val="186"/>
    </font>
    <font>
      <b/>
      <sz val="10"/>
      <name val="Ariel"/>
      <charset val="186"/>
    </font>
    <font>
      <i/>
      <sz val="10"/>
      <color rgb="FF000000"/>
      <name val="Ariel"/>
      <charset val="186"/>
    </font>
    <font>
      <b/>
      <sz val="10"/>
      <color rgb="FF000000"/>
      <name val="Ariel"/>
      <charset val="186"/>
    </font>
    <font>
      <b/>
      <sz val="10"/>
      <color rgb="FF000000"/>
      <name val="Arial"/>
      <family val="2"/>
    </font>
    <font>
      <sz val="10"/>
      <color rgb="FFFF0000"/>
      <name val="Arial"/>
      <family val="2"/>
      <charset val="186"/>
    </font>
    <font>
      <strike/>
      <sz val="7"/>
      <color rgb="FFFF0000"/>
      <name val="Arial"/>
      <family val="2"/>
    </font>
    <font>
      <b/>
      <sz val="8"/>
      <name val="Arial"/>
      <family val="2"/>
    </font>
    <font>
      <sz val="8"/>
      <name val="Arial"/>
      <family val="2"/>
    </font>
    <font>
      <i/>
      <sz val="8"/>
      <color rgb="FFFF0000"/>
      <name val="Arial"/>
      <family val="2"/>
    </font>
    <font>
      <b/>
      <i/>
      <sz val="8"/>
      <name val="Arial"/>
      <family val="2"/>
    </font>
    <font>
      <sz val="8"/>
      <color rgb="FFFF0000"/>
      <name val="Arial"/>
      <family val="2"/>
    </font>
    <font>
      <sz val="10"/>
      <name val="Times New Roman"/>
      <family val="1"/>
    </font>
    <font>
      <b/>
      <sz val="7"/>
      <name val="Arial"/>
      <family val="2"/>
      <charset val="186"/>
    </font>
    <font>
      <i/>
      <sz val="7"/>
      <color rgb="FFFF0000"/>
      <name val="Times New Roman"/>
      <family val="1"/>
      <charset val="186"/>
    </font>
    <font>
      <b/>
      <i/>
      <sz val="7"/>
      <name val="Arial"/>
      <family val="2"/>
      <charset val="186"/>
    </font>
    <font>
      <i/>
      <sz val="7"/>
      <name val="Arial"/>
      <family val="2"/>
      <charset val="186"/>
    </font>
    <font>
      <sz val="7"/>
      <color rgb="FF000000"/>
      <name val="Arial"/>
      <family val="2"/>
    </font>
    <font>
      <i/>
      <sz val="7"/>
      <color rgb="FF000000"/>
      <name val="Arial"/>
      <family val="2"/>
    </font>
    <font>
      <sz val="11"/>
      <name val="Times New Roman"/>
      <family val="1"/>
    </font>
    <font>
      <b/>
      <sz val="10"/>
      <name val="Times New Roman"/>
      <family val="1"/>
    </font>
    <font>
      <sz val="10"/>
      <color rgb="FF000000"/>
      <name val="Times New Roman"/>
      <family val="1"/>
    </font>
    <font>
      <b/>
      <sz val="7"/>
      <name val="Ariel"/>
      <charset val="186"/>
    </font>
    <font>
      <sz val="7"/>
      <name val="Ariel"/>
      <charset val="186"/>
    </font>
    <font>
      <sz val="10"/>
      <color theme="4"/>
      <name val="Arial"/>
      <family val="2"/>
      <charset val="186"/>
    </font>
    <font>
      <i/>
      <sz val="10"/>
      <name val="Arial"/>
      <family val="2"/>
    </font>
    <font>
      <b/>
      <sz val="10"/>
      <color rgb="FFFF0000"/>
      <name val="Arial"/>
      <family val="2"/>
    </font>
    <font>
      <sz val="11"/>
      <name val="Arial"/>
      <family val="2"/>
    </font>
    <font>
      <sz val="10"/>
      <color theme="0"/>
      <name val="Arial"/>
      <family val="2"/>
    </font>
    <font>
      <sz val="7"/>
      <color theme="0"/>
      <name val="Arial"/>
      <family val="2"/>
    </font>
    <font>
      <sz val="8"/>
      <color theme="0"/>
      <name val="Arial"/>
      <family val="2"/>
    </font>
    <font>
      <sz val="9"/>
      <color rgb="FFFF0000"/>
      <name val="Arial"/>
      <family val="2"/>
    </font>
    <font>
      <b/>
      <sz val="9"/>
      <color rgb="FFFF0000"/>
      <name val="Arial"/>
      <family val="2"/>
    </font>
    <font>
      <b/>
      <sz val="9"/>
      <color rgb="FF000000"/>
      <name val="Arial"/>
      <family val="2"/>
    </font>
    <font>
      <b/>
      <sz val="9"/>
      <color indexed="10"/>
      <name val="Arial"/>
      <family val="2"/>
    </font>
    <font>
      <b/>
      <sz val="11"/>
      <name val="Arial"/>
      <family val="2"/>
    </font>
    <font>
      <sz val="9"/>
      <color indexed="10"/>
      <name val="Arial"/>
      <family val="2"/>
    </font>
    <font>
      <i/>
      <sz val="11"/>
      <name val="Arial"/>
      <family val="2"/>
    </font>
    <font>
      <sz val="9"/>
      <color rgb="FF000000"/>
      <name val="Arial"/>
      <family val="2"/>
    </font>
    <font>
      <sz val="9"/>
      <name val="Arial"/>
      <family val="2"/>
      <charset val="186"/>
    </font>
    <font>
      <b/>
      <sz val="9"/>
      <color theme="1"/>
      <name val="Arial"/>
      <family val="2"/>
    </font>
    <font>
      <b/>
      <sz val="9"/>
      <color rgb="FF00B050"/>
      <name val="Arial"/>
      <family val="2"/>
    </font>
    <font>
      <sz val="9"/>
      <color theme="1"/>
      <name val="Arial"/>
      <family val="2"/>
    </font>
    <font>
      <sz val="9"/>
      <color rgb="FFFF0000"/>
      <name val="Arial"/>
      <family val="2"/>
      <charset val="186"/>
    </font>
    <font>
      <i/>
      <sz val="9"/>
      <name val="Arial"/>
      <family val="2"/>
    </font>
    <font>
      <b/>
      <sz val="9"/>
      <color rgb="FFFF0000"/>
      <name val="Arial"/>
      <family val="2"/>
      <charset val="186"/>
    </font>
    <font>
      <b/>
      <i/>
      <sz val="9"/>
      <color rgb="FFFF0000"/>
      <name val="Arial"/>
      <family val="2"/>
    </font>
    <font>
      <b/>
      <i/>
      <sz val="8"/>
      <color rgb="FFFF0000"/>
      <name val="Arial"/>
      <family val="2"/>
    </font>
    <font>
      <i/>
      <sz val="9"/>
      <color rgb="FFFF0000"/>
      <name val="Arial"/>
      <family val="2"/>
    </font>
    <font>
      <b/>
      <sz val="9"/>
      <name val="Arial"/>
      <family val="2"/>
      <charset val="186"/>
    </font>
    <font>
      <b/>
      <sz val="9"/>
      <color rgb="FF000000"/>
      <name val="Arial"/>
      <family val="2"/>
      <charset val="186"/>
    </font>
    <font>
      <b/>
      <i/>
      <sz val="9"/>
      <color rgb="FF000000"/>
      <name val="Arial"/>
      <family val="2"/>
      <charset val="186"/>
    </font>
    <font>
      <i/>
      <sz val="9"/>
      <name val="Arial"/>
      <family val="2"/>
      <charset val="186"/>
    </font>
    <font>
      <b/>
      <i/>
      <sz val="9"/>
      <color rgb="FFFF0000"/>
      <name val="Arial"/>
      <family val="2"/>
      <charset val="186"/>
    </font>
    <font>
      <b/>
      <i/>
      <sz val="10"/>
      <color rgb="FFFF0000"/>
      <name val="Arial"/>
      <family val="2"/>
    </font>
    <font>
      <b/>
      <i/>
      <sz val="7"/>
      <color rgb="FFFF0000"/>
      <name val="Arial"/>
      <family val="2"/>
    </font>
    <font>
      <strike/>
      <sz val="9"/>
      <name val="Arial"/>
      <family val="2"/>
    </font>
    <font>
      <b/>
      <i/>
      <sz val="9"/>
      <name val="Arial"/>
      <family val="2"/>
      <charset val="186"/>
    </font>
    <font>
      <b/>
      <i/>
      <sz val="11"/>
      <color rgb="FFFF0000"/>
      <name val="Times New Roman"/>
      <family val="1"/>
      <charset val="186"/>
    </font>
    <font>
      <i/>
      <sz val="9"/>
      <color rgb="FFFF0000"/>
      <name val="Arial"/>
      <family val="2"/>
      <charset val="186"/>
    </font>
    <font>
      <sz val="7"/>
      <color rgb="FFFF0000"/>
      <name val="Arial"/>
      <family val="2"/>
      <charset val="186"/>
    </font>
    <font>
      <b/>
      <sz val="11"/>
      <color rgb="FFFF0000"/>
      <name val="Arial"/>
      <family val="2"/>
    </font>
    <font>
      <sz val="9"/>
      <color indexed="81"/>
      <name val="Tahoma"/>
      <family val="2"/>
    </font>
    <font>
      <b/>
      <sz val="9"/>
      <color indexed="81"/>
      <name val="Tahoma"/>
      <family val="2"/>
    </font>
    <font>
      <b/>
      <i/>
      <sz val="9"/>
      <color theme="4"/>
      <name val="Arial"/>
      <family val="2"/>
    </font>
    <font>
      <i/>
      <sz val="9"/>
      <color theme="4"/>
      <name val="Arial"/>
      <family val="2"/>
    </font>
    <font>
      <b/>
      <i/>
      <sz val="9"/>
      <color rgb="FFC00000"/>
      <name val="Arial"/>
      <family val="2"/>
    </font>
    <font>
      <sz val="10"/>
      <color rgb="FFFF0000"/>
      <name val="Ariel"/>
      <charset val="186"/>
    </font>
    <font>
      <b/>
      <sz val="10"/>
      <color rgb="FF222222"/>
      <name val="Ariel"/>
      <charset val="186"/>
    </font>
    <font>
      <sz val="10"/>
      <color rgb="FF00B050"/>
      <name val="Arial"/>
      <family val="2"/>
      <charset val="186"/>
    </font>
    <font>
      <i/>
      <strike/>
      <sz val="9"/>
      <name val="Arial"/>
      <family val="2"/>
    </font>
    <font>
      <i/>
      <sz val="9"/>
      <name val="Times New Roman"/>
      <family val="1"/>
    </font>
    <font>
      <i/>
      <sz val="9"/>
      <color rgb="FFFF0000"/>
      <name val="Times New Roman"/>
      <family val="1"/>
    </font>
    <font>
      <i/>
      <sz val="9"/>
      <name val="Times New Roman"/>
      <family val="1"/>
      <charset val="186"/>
    </font>
    <font>
      <i/>
      <sz val="9"/>
      <color rgb="FFFF0000"/>
      <name val="Times New Roman"/>
      <family val="1"/>
      <charset val="186"/>
    </font>
    <font>
      <i/>
      <sz val="9"/>
      <color theme="1"/>
      <name val="Arial"/>
      <family val="2"/>
      <charset val="186"/>
    </font>
    <font>
      <i/>
      <sz val="9"/>
      <color theme="3" tint="0.39997558519241921"/>
      <name val="Arial"/>
      <family val="2"/>
    </font>
    <font>
      <i/>
      <sz val="9"/>
      <color theme="1"/>
      <name val="Arial"/>
      <family val="2"/>
    </font>
    <font>
      <b/>
      <sz val="10"/>
      <color rgb="FF0070C0"/>
      <name val="Arial"/>
      <family val="2"/>
    </font>
    <font>
      <sz val="10"/>
      <color rgb="FF0070C0"/>
      <name val="Arial"/>
      <family val="2"/>
      <charset val="186"/>
    </font>
    <font>
      <sz val="10"/>
      <color rgb="FF0070C0"/>
      <name val="Arial"/>
      <family val="2"/>
    </font>
    <font>
      <i/>
      <sz val="9"/>
      <color indexed="10"/>
      <name val="Arial"/>
      <family val="2"/>
    </font>
    <font>
      <i/>
      <sz val="11"/>
      <name val="Times New Roman"/>
      <family val="1"/>
    </font>
    <font>
      <i/>
      <u/>
      <sz val="9"/>
      <name val="Arial"/>
      <family val="2"/>
    </font>
    <font>
      <sz val="12"/>
      <name val="Arial"/>
      <family val="2"/>
    </font>
    <font>
      <sz val="12"/>
      <color rgb="FFFF0000"/>
      <name val="Arial"/>
      <family val="2"/>
    </font>
    <font>
      <b/>
      <sz val="12"/>
      <color rgb="FFFF0000"/>
      <name val="Arial"/>
      <family val="2"/>
    </font>
  </fonts>
  <fills count="54">
    <fill>
      <patternFill patternType="none"/>
    </fill>
    <fill>
      <patternFill patternType="gray125"/>
    </fill>
    <fill>
      <patternFill patternType="solid">
        <fgColor indexed="42"/>
        <bgColor indexed="41"/>
      </patternFill>
    </fill>
    <fill>
      <patternFill patternType="solid">
        <fgColor indexed="22"/>
        <bgColor indexed="31"/>
      </patternFill>
    </fill>
    <fill>
      <patternFill patternType="solid">
        <fgColor indexed="9"/>
        <bgColor indexed="26"/>
      </patternFill>
    </fill>
    <fill>
      <patternFill patternType="solid">
        <fgColor rgb="FFFFFF00"/>
        <bgColor indexed="64"/>
      </patternFill>
    </fill>
    <fill>
      <patternFill patternType="solid">
        <fgColor rgb="FFFF99CC"/>
        <bgColor indexed="64"/>
      </patternFill>
    </fill>
    <fill>
      <patternFill patternType="solid">
        <fgColor rgb="FF99CCFF"/>
        <bgColor indexed="64"/>
      </patternFill>
    </fill>
    <fill>
      <patternFill patternType="solid">
        <fgColor rgb="FFCCFFCC"/>
        <bgColor indexed="64"/>
      </patternFill>
    </fill>
    <fill>
      <patternFill patternType="solid">
        <fgColor rgb="FFFFFFFF"/>
        <bgColor indexed="64"/>
      </patternFill>
    </fill>
    <fill>
      <patternFill patternType="solid">
        <fgColor rgb="FFDBE5F1"/>
        <bgColor indexed="64"/>
      </patternFill>
    </fill>
    <fill>
      <patternFill patternType="solid">
        <fgColor theme="8" tint="0.79998168889431442"/>
        <bgColor indexed="64"/>
      </patternFill>
    </fill>
    <fill>
      <patternFill patternType="solid">
        <fgColor theme="8" tint="0.79998168889431442"/>
        <bgColor indexed="26"/>
      </patternFill>
    </fill>
    <fill>
      <patternFill patternType="solid">
        <fgColor theme="8"/>
        <bgColor indexed="64"/>
      </patternFill>
    </fill>
    <fill>
      <patternFill patternType="solid">
        <fgColor theme="4" tint="0.79998168889431442"/>
        <bgColor indexed="64"/>
      </patternFill>
    </fill>
    <fill>
      <patternFill patternType="solid">
        <fgColor theme="4" tint="0.79998168889431442"/>
        <bgColor indexed="26"/>
      </patternFill>
    </fill>
    <fill>
      <patternFill patternType="solid">
        <fgColor rgb="FFFFFF00"/>
        <bgColor indexed="26"/>
      </patternFill>
    </fill>
    <fill>
      <patternFill patternType="solid">
        <fgColor theme="5" tint="0.79998168889431442"/>
        <bgColor indexed="64"/>
      </patternFill>
    </fill>
    <fill>
      <patternFill patternType="solid">
        <fgColor theme="9" tint="0.79998168889431442"/>
        <bgColor indexed="64"/>
      </patternFill>
    </fill>
    <fill>
      <patternFill patternType="solid">
        <fgColor rgb="FF92D050"/>
        <bgColor indexed="64"/>
      </patternFill>
    </fill>
    <fill>
      <patternFill patternType="solid">
        <fgColor theme="6" tint="0.59999389629810485"/>
        <bgColor indexed="64"/>
      </patternFill>
    </fill>
    <fill>
      <patternFill patternType="solid">
        <fgColor theme="6" tint="0.59999389629810485"/>
        <bgColor indexed="26"/>
      </patternFill>
    </fill>
    <fill>
      <patternFill patternType="solid">
        <fgColor theme="8" tint="0.59999389629810485"/>
        <bgColor indexed="26"/>
      </patternFill>
    </fill>
    <fill>
      <patternFill patternType="solid">
        <fgColor theme="8" tint="0.59999389629810485"/>
        <bgColor indexed="64"/>
      </patternFill>
    </fill>
    <fill>
      <patternFill patternType="solid">
        <fgColor theme="6" tint="0.79998168889431442"/>
        <bgColor indexed="64"/>
      </patternFill>
    </fill>
    <fill>
      <patternFill patternType="solid">
        <fgColor theme="6" tint="0.79998168889431442"/>
        <bgColor indexed="26"/>
      </patternFill>
    </fill>
    <fill>
      <patternFill patternType="solid">
        <fgColor theme="6" tint="0.79998168889431442"/>
        <bgColor indexed="9"/>
      </patternFill>
    </fill>
    <fill>
      <patternFill patternType="solid">
        <fgColor theme="6" tint="0.79998168889431442"/>
        <bgColor indexed="31"/>
      </patternFill>
    </fill>
    <fill>
      <patternFill patternType="solid">
        <fgColor theme="0"/>
        <bgColor indexed="64"/>
      </patternFill>
    </fill>
    <fill>
      <patternFill patternType="solid">
        <fgColor theme="5" tint="0.39997558519241921"/>
        <bgColor indexed="64"/>
      </patternFill>
    </fill>
    <fill>
      <patternFill patternType="solid">
        <fgColor theme="5" tint="0.39997558519241921"/>
        <bgColor indexed="26"/>
      </patternFill>
    </fill>
    <fill>
      <patternFill patternType="solid">
        <fgColor theme="5" tint="0.59999389629810485"/>
        <bgColor indexed="64"/>
      </patternFill>
    </fill>
    <fill>
      <patternFill patternType="solid">
        <fgColor theme="9" tint="0.59999389629810485"/>
        <bgColor indexed="64"/>
      </patternFill>
    </fill>
    <fill>
      <patternFill patternType="solid">
        <fgColor rgb="FF92D050"/>
        <bgColor indexed="26"/>
      </patternFill>
    </fill>
    <fill>
      <patternFill patternType="solid">
        <fgColor theme="4" tint="0.59999389629810485"/>
        <bgColor indexed="64"/>
      </patternFill>
    </fill>
    <fill>
      <patternFill patternType="solid">
        <fgColor theme="6"/>
        <bgColor indexed="64"/>
      </patternFill>
    </fill>
    <fill>
      <patternFill patternType="solid">
        <fgColor theme="6"/>
        <bgColor indexed="26"/>
      </patternFill>
    </fill>
    <fill>
      <patternFill patternType="solid">
        <fgColor theme="5"/>
        <bgColor indexed="64"/>
      </patternFill>
    </fill>
    <fill>
      <patternFill patternType="solid">
        <fgColor theme="6" tint="0.39997558519241921"/>
        <bgColor indexed="64"/>
      </patternFill>
    </fill>
    <fill>
      <patternFill patternType="solid">
        <fgColor theme="6" tint="0.39997558519241921"/>
        <bgColor indexed="26"/>
      </patternFill>
    </fill>
    <fill>
      <patternFill patternType="solid">
        <fgColor rgb="FFFF0000"/>
        <bgColor indexed="64"/>
      </patternFill>
    </fill>
    <fill>
      <patternFill patternType="solid">
        <fgColor rgb="FF00B050"/>
        <bgColor indexed="64"/>
      </patternFill>
    </fill>
    <fill>
      <patternFill patternType="solid">
        <fgColor rgb="FF00B050"/>
        <bgColor indexed="26"/>
      </patternFill>
    </fill>
    <fill>
      <patternFill patternType="solid">
        <fgColor theme="9" tint="0.39997558519241921"/>
        <bgColor indexed="64"/>
      </patternFill>
    </fill>
    <fill>
      <patternFill patternType="solid">
        <fgColor theme="7" tint="0.59999389629810485"/>
        <bgColor indexed="64"/>
      </patternFill>
    </fill>
    <fill>
      <patternFill patternType="solid">
        <fgColor theme="9" tint="0.79998168889431442"/>
        <bgColor indexed="26"/>
      </patternFill>
    </fill>
    <fill>
      <patternFill patternType="solid">
        <fgColor theme="3" tint="0.79998168889431442"/>
        <bgColor indexed="64"/>
      </patternFill>
    </fill>
    <fill>
      <patternFill patternType="solid">
        <fgColor rgb="FFFFC000"/>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B7DEE8"/>
        <bgColor indexed="64"/>
      </patternFill>
    </fill>
    <fill>
      <patternFill patternType="solid">
        <fgColor rgb="FF00B0F0"/>
        <bgColor indexed="64"/>
      </patternFill>
    </fill>
  </fills>
  <borders count="101">
    <border>
      <left/>
      <right/>
      <top/>
      <bottom/>
      <diagonal/>
    </border>
    <border>
      <left/>
      <right/>
      <top/>
      <bottom style="thick">
        <color indexed="22"/>
      </bottom>
      <diagonal/>
    </border>
    <border>
      <left/>
      <right/>
      <top/>
      <bottom style="thick">
        <color indexed="6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style="thin">
        <color indexed="64"/>
      </top>
      <bottom style="thin">
        <color indexed="64"/>
      </bottom>
      <diagonal/>
    </border>
    <border>
      <left style="thin">
        <color indexed="8"/>
      </left>
      <right style="thin">
        <color indexed="8"/>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top/>
      <bottom/>
      <diagonal/>
    </border>
    <border>
      <left style="thin">
        <color indexed="64"/>
      </left>
      <right style="thin">
        <color indexed="64"/>
      </right>
      <top/>
      <bottom/>
      <diagonal/>
    </border>
    <border>
      <left style="thin">
        <color indexed="8"/>
      </left>
      <right/>
      <top style="thin">
        <color indexed="8"/>
      </top>
      <bottom/>
      <diagonal/>
    </border>
    <border>
      <left/>
      <right style="thin">
        <color indexed="8"/>
      </right>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8"/>
      </right>
      <top style="thin">
        <color indexed="8"/>
      </top>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8"/>
      </top>
      <bottom/>
      <diagonal/>
    </border>
    <border>
      <left style="thin">
        <color indexed="64"/>
      </left>
      <right style="thin">
        <color indexed="64"/>
      </right>
      <top/>
      <bottom style="thin">
        <color indexed="8"/>
      </bottom>
      <diagonal/>
    </border>
    <border>
      <left/>
      <right/>
      <top style="thin">
        <color indexed="8"/>
      </top>
      <bottom/>
      <diagonal/>
    </border>
    <border>
      <left/>
      <right style="thin">
        <color indexed="8"/>
      </right>
      <top/>
      <bottom/>
      <diagonal/>
    </border>
    <border>
      <left style="medium">
        <color indexed="64"/>
      </left>
      <right/>
      <top/>
      <bottom style="medium">
        <color indexed="64"/>
      </bottom>
      <diagonal/>
    </border>
    <border>
      <left/>
      <right style="thin">
        <color indexed="64"/>
      </right>
      <top/>
      <bottom/>
      <diagonal/>
    </border>
    <border>
      <left style="thin">
        <color indexed="8"/>
      </left>
      <right style="thin">
        <color indexed="8"/>
      </right>
      <top style="thin">
        <color indexed="64"/>
      </top>
      <bottom/>
      <diagonal/>
    </border>
    <border>
      <left style="thin">
        <color indexed="64"/>
      </left>
      <right/>
      <top/>
      <bottom/>
      <diagonal/>
    </border>
    <border>
      <left style="thin">
        <color indexed="64"/>
      </left>
      <right style="thin">
        <color indexed="8"/>
      </right>
      <top style="thin">
        <color indexed="64"/>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theme="4"/>
      </top>
      <bottom/>
      <diagonal/>
    </border>
    <border>
      <left style="thin">
        <color theme="4"/>
      </left>
      <right style="thin">
        <color theme="4"/>
      </right>
      <top style="thin">
        <color theme="4"/>
      </top>
      <bottom style="thin">
        <color theme="4"/>
      </bottom>
      <diagonal/>
    </border>
    <border>
      <left style="thin">
        <color theme="4"/>
      </left>
      <right/>
      <top/>
      <bottom/>
      <diagonal/>
    </border>
    <border>
      <left/>
      <right style="thin">
        <color theme="4"/>
      </right>
      <top/>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thin">
        <color theme="4"/>
      </left>
      <right style="thin">
        <color theme="4"/>
      </right>
      <top style="thin">
        <color theme="4"/>
      </top>
      <bottom/>
      <diagonal/>
    </border>
    <border>
      <left style="thin">
        <color theme="4"/>
      </left>
      <right style="thin">
        <color theme="4"/>
      </right>
      <top/>
      <bottom style="thin">
        <color theme="4"/>
      </bottom>
      <diagonal/>
    </border>
    <border>
      <left style="thin">
        <color theme="4"/>
      </left>
      <right style="thin">
        <color theme="4"/>
      </right>
      <top/>
      <bottom/>
      <diagonal/>
    </border>
    <border>
      <left style="thin">
        <color indexed="8"/>
      </left>
      <right style="thin">
        <color indexed="64"/>
      </right>
      <top style="thin">
        <color indexed="64"/>
      </top>
      <bottom/>
      <diagonal/>
    </border>
    <border>
      <left style="thin">
        <color indexed="8"/>
      </left>
      <right style="thin">
        <color indexed="64"/>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diagonal/>
    </border>
    <border>
      <left style="thin">
        <color indexed="8"/>
      </left>
      <right/>
      <top/>
      <bottom style="thin">
        <color indexed="64"/>
      </bottom>
      <diagonal/>
    </border>
    <border>
      <left style="thin">
        <color indexed="8"/>
      </left>
      <right style="thin">
        <color indexed="8"/>
      </right>
      <top/>
      <bottom style="thin">
        <color indexed="64"/>
      </bottom>
      <diagonal/>
    </border>
    <border>
      <left style="thin">
        <color indexed="64"/>
      </left>
      <right style="thin">
        <color indexed="8"/>
      </right>
      <top/>
      <bottom style="thin">
        <color indexed="8"/>
      </bottom>
      <diagonal/>
    </border>
    <border>
      <left style="thin">
        <color indexed="64"/>
      </left>
      <right style="thin">
        <color indexed="8"/>
      </right>
      <top style="thin">
        <color indexed="8"/>
      </top>
      <bottom/>
      <diagonal/>
    </border>
    <border>
      <left style="thin">
        <color indexed="64"/>
      </left>
      <right style="thin">
        <color indexed="8"/>
      </right>
      <top/>
      <bottom style="thin">
        <color indexed="64"/>
      </bottom>
      <diagonal/>
    </border>
    <border>
      <left style="thin">
        <color indexed="64"/>
      </left>
      <right style="thin">
        <color indexed="8"/>
      </right>
      <top/>
      <bottom/>
      <diagonal/>
    </border>
    <border>
      <left style="thin">
        <color indexed="8"/>
      </left>
      <right style="thin">
        <color indexed="64"/>
      </right>
      <top/>
      <bottom style="thin">
        <color indexed="64"/>
      </bottom>
      <diagonal/>
    </border>
    <border>
      <left/>
      <right/>
      <top/>
      <bottom style="thin">
        <color theme="4"/>
      </bottom>
      <diagonal/>
    </border>
    <border>
      <left style="thin">
        <color indexed="64"/>
      </left>
      <right/>
      <top style="thin">
        <color indexed="8"/>
      </top>
      <bottom/>
      <diagonal/>
    </border>
    <border>
      <left/>
      <right/>
      <top/>
      <bottom style="thin">
        <color indexed="8"/>
      </bottom>
      <diagonal/>
    </border>
    <border>
      <left style="thin">
        <color indexed="64"/>
      </left>
      <right/>
      <top/>
      <bottom style="thin">
        <color indexed="8"/>
      </bottom>
      <diagonal/>
    </border>
    <border>
      <left style="medium">
        <color indexed="64"/>
      </left>
      <right/>
      <top/>
      <bottom style="thin">
        <color indexed="64"/>
      </bottom>
      <diagonal/>
    </border>
    <border>
      <left style="thin">
        <color indexed="8"/>
      </left>
      <right/>
      <top style="thin">
        <color indexed="64"/>
      </top>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style="thin">
        <color theme="4"/>
      </left>
      <right/>
      <top style="medium">
        <color rgb="FF4F81BD"/>
      </top>
      <bottom style="thin">
        <color indexed="64"/>
      </bottom>
      <diagonal/>
    </border>
    <border>
      <left/>
      <right/>
      <top/>
      <bottom style="medium">
        <color rgb="FF4F81BD"/>
      </bottom>
      <diagonal/>
    </border>
    <border>
      <left style="medium">
        <color theme="4"/>
      </left>
      <right style="thin">
        <color theme="4"/>
      </right>
      <top style="medium">
        <color theme="4"/>
      </top>
      <bottom style="thin">
        <color theme="4"/>
      </bottom>
      <diagonal/>
    </border>
    <border>
      <left style="thin">
        <color theme="4"/>
      </left>
      <right style="thin">
        <color theme="4"/>
      </right>
      <top style="medium">
        <color theme="4"/>
      </top>
      <bottom style="thin">
        <color theme="4"/>
      </bottom>
      <diagonal/>
    </border>
    <border>
      <left style="thin">
        <color theme="4"/>
      </left>
      <right style="medium">
        <color theme="4"/>
      </right>
      <top style="medium">
        <color theme="4"/>
      </top>
      <bottom style="thin">
        <color theme="4"/>
      </bottom>
      <diagonal/>
    </border>
    <border>
      <left style="medium">
        <color theme="4"/>
      </left>
      <right style="thin">
        <color theme="4"/>
      </right>
      <top style="thin">
        <color theme="4"/>
      </top>
      <bottom style="thin">
        <color theme="4"/>
      </bottom>
      <diagonal/>
    </border>
    <border>
      <left style="thin">
        <color theme="4"/>
      </left>
      <right style="medium">
        <color theme="4"/>
      </right>
      <top style="thin">
        <color theme="4"/>
      </top>
      <bottom style="thin">
        <color theme="4"/>
      </bottom>
      <diagonal/>
    </border>
    <border>
      <left style="medium">
        <color theme="4"/>
      </left>
      <right style="thin">
        <color theme="4"/>
      </right>
      <top style="thin">
        <color theme="4"/>
      </top>
      <bottom style="medium">
        <color theme="4"/>
      </bottom>
      <diagonal/>
    </border>
    <border>
      <left/>
      <right style="medium">
        <color theme="4"/>
      </right>
      <top style="thin">
        <color theme="4"/>
      </top>
      <bottom style="thin">
        <color theme="4"/>
      </bottom>
      <diagonal/>
    </border>
    <border>
      <left style="thin">
        <color theme="4"/>
      </left>
      <right style="medium">
        <color theme="4"/>
      </right>
      <top style="thin">
        <color theme="4"/>
      </top>
      <bottom/>
      <diagonal/>
    </border>
    <border>
      <left style="thin">
        <color theme="4"/>
      </left>
      <right style="medium">
        <color theme="4"/>
      </right>
      <top/>
      <bottom/>
      <diagonal/>
    </border>
    <border>
      <left style="thin">
        <color theme="4"/>
      </left>
      <right style="medium">
        <color theme="4"/>
      </right>
      <top/>
      <bottom style="medium">
        <color theme="4"/>
      </bottom>
      <diagonal/>
    </border>
    <border>
      <left style="thin">
        <color theme="4"/>
      </left>
      <right/>
      <top style="thin">
        <color theme="4"/>
      </top>
      <bottom style="medium">
        <color theme="4"/>
      </bottom>
      <diagonal/>
    </border>
    <border>
      <left/>
      <right/>
      <top style="thin">
        <color theme="4"/>
      </top>
      <bottom style="medium">
        <color theme="4"/>
      </bottom>
      <diagonal/>
    </border>
    <border>
      <left/>
      <right style="thin">
        <color theme="4"/>
      </right>
      <top style="thin">
        <color theme="4"/>
      </top>
      <bottom style="medium">
        <color theme="4"/>
      </bottom>
      <diagonal/>
    </border>
  </borders>
  <cellStyleXfs count="24">
    <xf numFmtId="0" fontId="0" fillId="0" borderId="0"/>
    <xf numFmtId="164" fontId="22" fillId="0" borderId="0" applyFill="0" applyBorder="0" applyAlignment="0" applyProtection="0"/>
    <xf numFmtId="165" fontId="3" fillId="0" borderId="0"/>
    <xf numFmtId="0" fontId="3" fillId="0" borderId="0"/>
    <xf numFmtId="0" fontId="4" fillId="0" borderId="0" applyNumberFormat="0" applyFill="0" applyBorder="0" applyAlignment="0" applyProtection="0"/>
    <xf numFmtId="0" fontId="5" fillId="2" borderId="0" applyNumberFormat="0" applyBorder="0" applyAlignment="0" applyProtection="0"/>
    <xf numFmtId="0" fontId="6" fillId="0" borderId="2" applyNumberFormat="0" applyFill="0" applyAlignment="0" applyProtection="0"/>
    <xf numFmtId="0" fontId="7" fillId="0" borderId="1"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22" fillId="0" borderId="0"/>
    <xf numFmtId="0" fontId="3" fillId="0" borderId="0"/>
    <xf numFmtId="0" fontId="9" fillId="0" borderId="0"/>
    <xf numFmtId="0" fontId="10" fillId="3" borderId="4" applyNumberFormat="0" applyAlignment="0" applyProtection="0"/>
    <xf numFmtId="0" fontId="22" fillId="0" borderId="0">
      <protection locked="0"/>
    </xf>
    <xf numFmtId="0" fontId="22" fillId="0" borderId="0">
      <protection locked="0"/>
    </xf>
    <xf numFmtId="0" fontId="22" fillId="0" borderId="0"/>
    <xf numFmtId="0" fontId="11" fillId="0" borderId="0" applyNumberFormat="0" applyFill="0" applyBorder="0" applyAlignment="0" applyProtection="0"/>
    <xf numFmtId="0" fontId="12" fillId="0" borderId="5" applyNumberFormat="0" applyFill="0" applyAlignment="0" applyProtection="0"/>
    <xf numFmtId="0" fontId="13" fillId="0" borderId="0" applyNumberFormat="0" applyFill="0" applyBorder="0" applyAlignment="0" applyProtection="0"/>
    <xf numFmtId="0" fontId="23" fillId="0" borderId="0"/>
    <xf numFmtId="43" fontId="22" fillId="0" borderId="0" applyFont="0" applyFill="0" applyBorder="0" applyAlignment="0" applyProtection="0"/>
    <xf numFmtId="9" fontId="22" fillId="0" borderId="0" applyFont="0" applyFill="0" applyBorder="0" applyAlignment="0" applyProtection="0"/>
    <xf numFmtId="0" fontId="2" fillId="0" borderId="0"/>
  </cellStyleXfs>
  <cellXfs count="3777">
    <xf numFmtId="0" fontId="0" fillId="0" borderId="0" xfId="0"/>
    <xf numFmtId="0" fontId="0" fillId="0" borderId="0" xfId="0" applyAlignment="1">
      <alignment horizontal="center"/>
    </xf>
    <xf numFmtId="0" fontId="15" fillId="0" borderId="12" xfId="0" applyFont="1" applyBorder="1" applyAlignment="1">
      <alignment wrapText="1"/>
    </xf>
    <xf numFmtId="0" fontId="15" fillId="0" borderId="0" xfId="0" applyFont="1"/>
    <xf numFmtId="0" fontId="14" fillId="0" borderId="0" xfId="0" applyFont="1" applyAlignment="1">
      <alignment horizontal="center" vertical="center" wrapText="1"/>
    </xf>
    <xf numFmtId="0" fontId="15" fillId="0" borderId="40" xfId="0" applyFont="1" applyBorder="1"/>
    <xf numFmtId="0" fontId="14" fillId="0" borderId="40" xfId="0" applyFont="1" applyBorder="1" applyAlignment="1">
      <alignment horizontal="center" vertical="center" wrapText="1"/>
    </xf>
    <xf numFmtId="0" fontId="15" fillId="0" borderId="41" xfId="0" applyFont="1" applyBorder="1" applyAlignment="1">
      <alignment vertical="center" wrapText="1"/>
    </xf>
    <xf numFmtId="0" fontId="15" fillId="0" borderId="43" xfId="0" applyFont="1" applyBorder="1" applyAlignment="1">
      <alignment vertical="center" wrapText="1"/>
    </xf>
    <xf numFmtId="0" fontId="17" fillId="0" borderId="43" xfId="0" applyFont="1" applyBorder="1" applyAlignment="1">
      <alignment vertical="center" wrapText="1"/>
    </xf>
    <xf numFmtId="0" fontId="15" fillId="0" borderId="40" xfId="0" applyFont="1" applyBorder="1" applyAlignment="1">
      <alignment vertical="center" wrapText="1"/>
    </xf>
    <xf numFmtId="0" fontId="15" fillId="8" borderId="41" xfId="0" applyFont="1" applyFill="1" applyBorder="1" applyAlignment="1">
      <alignment vertical="center"/>
    </xf>
    <xf numFmtId="0" fontId="25" fillId="8" borderId="41" xfId="0" applyFont="1" applyFill="1" applyBorder="1" applyAlignment="1">
      <alignment vertical="center" wrapText="1"/>
    </xf>
    <xf numFmtId="0" fontId="15" fillId="8" borderId="41" xfId="0" applyFont="1" applyFill="1" applyBorder="1" applyAlignment="1">
      <alignment vertical="center" wrapText="1"/>
    </xf>
    <xf numFmtId="0" fontId="17" fillId="0" borderId="43" xfId="0" applyFont="1" applyBorder="1" applyAlignment="1">
      <alignment vertical="center"/>
    </xf>
    <xf numFmtId="0" fontId="15" fillId="8" borderId="42" xfId="0" applyFont="1" applyFill="1" applyBorder="1" applyAlignment="1">
      <alignment vertical="center" wrapText="1"/>
    </xf>
    <xf numFmtId="0" fontId="16" fillId="0" borderId="40" xfId="0" applyFont="1" applyBorder="1" applyAlignment="1">
      <alignment vertical="center" wrapText="1"/>
    </xf>
    <xf numFmtId="0" fontId="17" fillId="0" borderId="40" xfId="0" applyFont="1" applyBorder="1" applyAlignment="1">
      <alignment vertical="center" wrapText="1"/>
    </xf>
    <xf numFmtId="0" fontId="25" fillId="0" borderId="43" xfId="0" applyFont="1" applyBorder="1" applyAlignment="1">
      <alignment vertical="center" wrapText="1"/>
    </xf>
    <xf numFmtId="0" fontId="25" fillId="0" borderId="44" xfId="0" applyFont="1" applyBorder="1" applyAlignment="1">
      <alignment vertical="center" wrapText="1"/>
    </xf>
    <xf numFmtId="0" fontId="15" fillId="0" borderId="43" xfId="0" applyFont="1" applyBorder="1" applyAlignment="1">
      <alignment wrapText="1"/>
    </xf>
    <xf numFmtId="0" fontId="15" fillId="0" borderId="40" xfId="0" applyFont="1" applyBorder="1" applyAlignment="1">
      <alignment wrapText="1"/>
    </xf>
    <xf numFmtId="0" fontId="25" fillId="0" borderId="40" xfId="0" applyFont="1" applyBorder="1" applyAlignment="1">
      <alignment vertical="center" wrapText="1"/>
    </xf>
    <xf numFmtId="0" fontId="26" fillId="0" borderId="43" xfId="0" applyFont="1" applyBorder="1" applyAlignment="1">
      <alignment vertical="center" wrapText="1"/>
    </xf>
    <xf numFmtId="3" fontId="15" fillId="0" borderId="40" xfId="0" applyNumberFormat="1" applyFont="1" applyBorder="1" applyAlignment="1">
      <alignment vertical="center" wrapText="1"/>
    </xf>
    <xf numFmtId="0" fontId="19" fillId="0" borderId="40" xfId="0" applyFont="1" applyBorder="1" applyAlignment="1">
      <alignment vertical="center" wrapText="1"/>
    </xf>
    <xf numFmtId="0" fontId="15" fillId="0" borderId="44" xfId="0" applyFont="1" applyBorder="1" applyAlignment="1">
      <alignment horizontal="justify" vertical="center" wrapText="1"/>
    </xf>
    <xf numFmtId="0" fontId="15" fillId="0" borderId="43" xfId="0" applyFont="1" applyBorder="1" applyAlignment="1">
      <alignment horizontal="justify" vertical="center" wrapText="1"/>
    </xf>
    <xf numFmtId="0" fontId="15" fillId="8" borderId="41" xfId="0" applyFont="1" applyFill="1" applyBorder="1" applyAlignment="1">
      <alignment horizontal="justify" vertical="center" wrapText="1"/>
    </xf>
    <xf numFmtId="0" fontId="15" fillId="9" borderId="40" xfId="0" applyFont="1" applyFill="1" applyBorder="1" applyAlignment="1">
      <alignment vertical="center" wrapText="1"/>
    </xf>
    <xf numFmtId="0" fontId="15" fillId="8" borderId="49" xfId="0" applyFont="1" applyFill="1" applyBorder="1" applyAlignment="1">
      <alignment vertical="top"/>
    </xf>
    <xf numFmtId="0" fontId="15" fillId="0" borderId="45" xfId="0" applyFont="1" applyBorder="1" applyAlignment="1">
      <alignment vertical="center" wrapText="1"/>
    </xf>
    <xf numFmtId="0" fontId="15" fillId="0" borderId="47" xfId="0" applyFont="1" applyBorder="1" applyAlignment="1">
      <alignment vertical="center" wrapText="1"/>
    </xf>
    <xf numFmtId="0" fontId="25" fillId="0" borderId="45" xfId="0" applyFont="1" applyBorder="1" applyAlignment="1">
      <alignment vertical="center" wrapText="1"/>
    </xf>
    <xf numFmtId="0" fontId="25" fillId="0" borderId="46" xfId="0" applyFont="1" applyBorder="1" applyAlignment="1">
      <alignment vertical="center" wrapText="1"/>
    </xf>
    <xf numFmtId="0" fontId="25" fillId="8" borderId="45" xfId="0" applyFont="1" applyFill="1" applyBorder="1" applyAlignment="1">
      <alignment vertical="center" wrapText="1"/>
    </xf>
    <xf numFmtId="0" fontId="24" fillId="8" borderId="48" xfId="0" applyFont="1" applyFill="1" applyBorder="1" applyAlignment="1">
      <alignment vertical="center"/>
    </xf>
    <xf numFmtId="0" fontId="24" fillId="8" borderId="49" xfId="0" applyFont="1" applyFill="1" applyBorder="1" applyAlignment="1">
      <alignment vertical="center"/>
    </xf>
    <xf numFmtId="0" fontId="26" fillId="0" borderId="45" xfId="0" applyFont="1" applyBorder="1" applyAlignment="1">
      <alignment horizontal="center" vertical="center" wrapText="1"/>
    </xf>
    <xf numFmtId="0" fontId="15" fillId="0" borderId="46" xfId="0" applyFont="1" applyBorder="1" applyAlignment="1">
      <alignment horizontal="center" vertical="center" wrapText="1"/>
    </xf>
    <xf numFmtId="0" fontId="15" fillId="0" borderId="45" xfId="0" applyFont="1" applyBorder="1" applyAlignment="1">
      <alignment horizontal="center" vertical="center" wrapText="1"/>
    </xf>
    <xf numFmtId="0" fontId="17" fillId="0" borderId="45" xfId="0" applyFont="1" applyBorder="1" applyAlignment="1">
      <alignment horizontal="center" vertical="center" wrapText="1"/>
    </xf>
    <xf numFmtId="0" fontId="21" fillId="0" borderId="0" xfId="0" applyFont="1" applyAlignment="1">
      <alignment vertical="center"/>
    </xf>
    <xf numFmtId="0" fontId="14" fillId="0" borderId="12" xfId="0" applyFont="1" applyBorder="1" applyAlignment="1">
      <alignment horizontal="center" vertical="center" wrapText="1"/>
    </xf>
    <xf numFmtId="0" fontId="20" fillId="6" borderId="12" xfId="0" applyFont="1" applyFill="1" applyBorder="1" applyAlignment="1">
      <alignment vertical="center" wrapText="1"/>
    </xf>
    <xf numFmtId="0" fontId="15" fillId="0" borderId="12" xfId="0" applyFont="1" applyBorder="1" applyAlignment="1">
      <alignment vertical="center" wrapText="1"/>
    </xf>
    <xf numFmtId="0" fontId="15" fillId="5" borderId="12" xfId="0" applyFont="1" applyFill="1" applyBorder="1" applyAlignment="1">
      <alignment vertical="top" wrapText="1"/>
    </xf>
    <xf numFmtId="0" fontId="15" fillId="7" borderId="12" xfId="0" applyFont="1" applyFill="1" applyBorder="1" applyAlignment="1">
      <alignment wrapText="1"/>
    </xf>
    <xf numFmtId="0" fontId="15" fillId="8" borderId="12" xfId="0" applyFont="1" applyFill="1" applyBorder="1" applyAlignment="1">
      <alignment vertical="top"/>
    </xf>
    <xf numFmtId="0" fontId="15" fillId="8" borderId="12" xfId="0" applyFont="1" applyFill="1" applyBorder="1" applyAlignment="1">
      <alignment vertical="top" wrapText="1"/>
    </xf>
    <xf numFmtId="0" fontId="15" fillId="6" borderId="12" xfId="0" applyFont="1" applyFill="1" applyBorder="1" applyAlignment="1">
      <alignment vertical="top" wrapText="1"/>
    </xf>
    <xf numFmtId="0" fontId="16" fillId="0" borderId="12" xfId="0" applyFont="1" applyBorder="1" applyAlignment="1">
      <alignment vertical="center" wrapText="1"/>
    </xf>
    <xf numFmtId="0" fontId="17" fillId="0" borderId="12" xfId="0" applyFont="1" applyBorder="1" applyAlignment="1">
      <alignment vertical="center" wrapText="1"/>
    </xf>
    <xf numFmtId="0" fontId="24" fillId="8" borderId="12" xfId="0" applyFont="1" applyFill="1" applyBorder="1" applyAlignment="1">
      <alignment horizontal="left" vertical="center" wrapText="1"/>
    </xf>
    <xf numFmtId="0" fontId="25" fillId="0" borderId="12" xfId="0" applyFont="1" applyBorder="1" applyAlignment="1">
      <alignment vertical="center" wrapText="1"/>
    </xf>
    <xf numFmtId="3" fontId="15" fillId="0" borderId="12" xfId="0" applyNumberFormat="1" applyFont="1" applyBorder="1" applyAlignment="1">
      <alignment vertical="center" wrapText="1"/>
    </xf>
    <xf numFmtId="0" fontId="15" fillId="0" borderId="12" xfId="0" applyFont="1" applyBorder="1" applyAlignment="1">
      <alignment horizontal="center" vertical="center" wrapText="1"/>
    </xf>
    <xf numFmtId="0" fontId="19" fillId="0" borderId="12" xfId="0" applyFont="1" applyBorder="1" applyAlignment="1">
      <alignment vertical="center" wrapText="1"/>
    </xf>
    <xf numFmtId="0" fontId="24" fillId="8" borderId="12" xfId="0" applyFont="1" applyFill="1" applyBorder="1" applyAlignment="1">
      <alignment horizontal="justify" vertical="center" wrapText="1"/>
    </xf>
    <xf numFmtId="0" fontId="20" fillId="7" borderId="12" xfId="0" applyFont="1" applyFill="1" applyBorder="1" applyAlignment="1">
      <alignment vertical="center" wrapText="1"/>
    </xf>
    <xf numFmtId="0" fontId="14" fillId="8" borderId="12" xfId="0" applyFont="1" applyFill="1" applyBorder="1" applyAlignment="1">
      <alignment vertical="center"/>
    </xf>
    <xf numFmtId="0" fontId="24" fillId="8" borderId="12" xfId="0" applyFont="1" applyFill="1" applyBorder="1" applyAlignment="1">
      <alignment vertical="center" wrapText="1"/>
    </xf>
    <xf numFmtId="0" fontId="15" fillId="9" borderId="12" xfId="0" applyFont="1" applyFill="1" applyBorder="1" applyAlignment="1">
      <alignment vertical="center" wrapText="1"/>
    </xf>
    <xf numFmtId="0" fontId="0" fillId="0" borderId="55" xfId="0" applyBorder="1"/>
    <xf numFmtId="0" fontId="0" fillId="0" borderId="56" xfId="0" applyBorder="1"/>
    <xf numFmtId="0" fontId="0" fillId="0" borderId="58" xfId="0" applyBorder="1"/>
    <xf numFmtId="0" fontId="0" fillId="0" borderId="59" xfId="0" applyBorder="1"/>
    <xf numFmtId="0" fontId="0" fillId="0" borderId="60" xfId="0" applyBorder="1"/>
    <xf numFmtId="0" fontId="0" fillId="0" borderId="61" xfId="0" applyBorder="1"/>
    <xf numFmtId="0" fontId="0" fillId="0" borderId="62" xfId="0" applyBorder="1"/>
    <xf numFmtId="0" fontId="0" fillId="0" borderId="57" xfId="0" applyBorder="1"/>
    <xf numFmtId="0" fontId="15" fillId="0" borderId="0" xfId="0" applyFont="1" applyAlignment="1">
      <alignment vertical="center"/>
    </xf>
    <xf numFmtId="0" fontId="15" fillId="0" borderId="56" xfId="0" applyFont="1" applyBorder="1" applyAlignment="1">
      <alignment vertical="center"/>
    </xf>
    <xf numFmtId="0" fontId="34" fillId="0" borderId="0" xfId="0" applyFont="1" applyAlignment="1">
      <alignment horizontal="justify" vertical="center"/>
    </xf>
    <xf numFmtId="0" fontId="0" fillId="10" borderId="52" xfId="0" applyFill="1" applyBorder="1" applyAlignment="1">
      <alignment horizontal="left" vertical="center" wrapText="1"/>
    </xf>
    <xf numFmtId="0" fontId="0" fillId="0" borderId="52" xfId="0" applyBorder="1" applyAlignment="1">
      <alignment horizontal="left" vertical="center"/>
    </xf>
    <xf numFmtId="0" fontId="0" fillId="0" borderId="52" xfId="0" applyBorder="1" applyAlignment="1">
      <alignment horizontal="left" vertical="center" wrapText="1"/>
    </xf>
    <xf numFmtId="0" fontId="36" fillId="0" borderId="58" xfId="0" applyFont="1" applyBorder="1"/>
    <xf numFmtId="0" fontId="0" fillId="0" borderId="54" xfId="0" applyBorder="1"/>
    <xf numFmtId="0" fontId="0" fillId="0" borderId="53" xfId="0" applyBorder="1"/>
    <xf numFmtId="0" fontId="37" fillId="11" borderId="52" xfId="0" applyFont="1" applyFill="1" applyBorder="1" applyAlignment="1">
      <alignment horizontal="left" vertical="center"/>
    </xf>
    <xf numFmtId="0" fontId="37" fillId="11" borderId="52" xfId="0" applyFont="1" applyFill="1" applyBorder="1" applyAlignment="1">
      <alignment horizontal="left" vertical="center" wrapText="1"/>
    </xf>
    <xf numFmtId="0" fontId="29" fillId="0" borderId="0" xfId="0" applyFont="1" applyAlignment="1">
      <alignment horizontal="left" vertical="top" wrapText="1"/>
    </xf>
    <xf numFmtId="0" fontId="39" fillId="0" borderId="0" xfId="0" applyFont="1" applyAlignment="1">
      <alignment vertical="top"/>
    </xf>
    <xf numFmtId="0" fontId="33" fillId="0" borderId="0" xfId="0" applyFont="1"/>
    <xf numFmtId="0" fontId="42" fillId="0" borderId="12" xfId="0" applyFont="1" applyBorder="1" applyAlignment="1">
      <alignment horizontal="center" vertical="center" wrapText="1"/>
    </xf>
    <xf numFmtId="0" fontId="33" fillId="13" borderId="0" xfId="0" applyFont="1" applyFill="1"/>
    <xf numFmtId="0" fontId="39" fillId="0" borderId="0" xfId="0" applyFont="1"/>
    <xf numFmtId="0" fontId="46" fillId="0" borderId="0" xfId="0" applyFont="1"/>
    <xf numFmtId="0" fontId="48" fillId="0" borderId="0" xfId="0" applyFont="1"/>
    <xf numFmtId="0" fontId="48" fillId="13" borderId="0" xfId="0" applyFont="1" applyFill="1"/>
    <xf numFmtId="0" fontId="51" fillId="0" borderId="0" xfId="0" applyFont="1"/>
    <xf numFmtId="0" fontId="33" fillId="0" borderId="12" xfId="0" applyFont="1" applyBorder="1" applyAlignment="1">
      <alignment vertical="center" wrapText="1"/>
    </xf>
    <xf numFmtId="0" fontId="29" fillId="14" borderId="12" xfId="0" applyFont="1" applyFill="1" applyBorder="1" applyAlignment="1">
      <alignment vertical="center" wrapText="1"/>
    </xf>
    <xf numFmtId="0" fontId="29" fillId="14" borderId="12" xfId="0" applyFont="1" applyFill="1" applyBorder="1" applyAlignment="1">
      <alignment horizontal="left" vertical="center" wrapText="1"/>
    </xf>
    <xf numFmtId="169" fontId="33" fillId="0" borderId="12" xfId="0" applyNumberFormat="1" applyFont="1" applyBorder="1" applyAlignment="1">
      <alignment horizontal="left" vertical="center" wrapText="1"/>
    </xf>
    <xf numFmtId="2" fontId="33" fillId="0" borderId="12" xfId="0" applyNumberFormat="1" applyFont="1" applyBorder="1" applyAlignment="1">
      <alignment horizontal="left" vertical="center" wrapText="1"/>
    </xf>
    <xf numFmtId="14" fontId="33" fillId="0" borderId="12" xfId="0" applyNumberFormat="1" applyFont="1" applyBorder="1" applyAlignment="1">
      <alignment vertical="center" wrapText="1"/>
    </xf>
    <xf numFmtId="0" fontId="33" fillId="0" borderId="0" xfId="0" applyFont="1" applyAlignment="1">
      <alignment vertical="top"/>
    </xf>
    <xf numFmtId="0" fontId="38" fillId="0" borderId="0" xfId="0" applyFont="1" applyAlignment="1">
      <alignment horizontal="left" vertical="top" wrapText="1"/>
    </xf>
    <xf numFmtId="0" fontId="52" fillId="0" borderId="0" xfId="0" applyFont="1"/>
    <xf numFmtId="0" fontId="33" fillId="0" borderId="0" xfId="0" applyFont="1" applyAlignment="1">
      <alignment vertical="center"/>
    </xf>
    <xf numFmtId="0" fontId="33" fillId="14" borderId="0" xfId="0" applyFont="1" applyFill="1" applyAlignment="1">
      <alignment vertical="center"/>
    </xf>
    <xf numFmtId="0" fontId="33" fillId="0" borderId="0" xfId="0" applyFont="1" applyAlignment="1">
      <alignment horizontal="left" vertical="center"/>
    </xf>
    <xf numFmtId="0" fontId="33" fillId="0" borderId="12" xfId="0" applyFont="1" applyBorder="1" applyAlignment="1">
      <alignment vertical="center"/>
    </xf>
    <xf numFmtId="0" fontId="53" fillId="0" borderId="12" xfId="0" applyFont="1" applyBorder="1" applyAlignment="1">
      <alignment horizontal="center" vertical="center" wrapText="1"/>
    </xf>
    <xf numFmtId="0" fontId="52" fillId="0" borderId="12" xfId="0" applyFont="1" applyBorder="1" applyAlignment="1">
      <alignment horizontal="center" vertical="center" wrapText="1"/>
    </xf>
    <xf numFmtId="0" fontId="52" fillId="0" borderId="12" xfId="0" applyFont="1" applyBorder="1" applyAlignment="1">
      <alignment horizontal="justify" vertical="center" wrapText="1"/>
    </xf>
    <xf numFmtId="0" fontId="52" fillId="18" borderId="12" xfId="0" applyFont="1" applyFill="1" applyBorder="1"/>
    <xf numFmtId="0" fontId="54" fillId="18" borderId="12" xfId="0" applyFont="1" applyFill="1" applyBorder="1" applyAlignment="1">
      <alignment horizontal="center" vertical="center"/>
    </xf>
    <xf numFmtId="0" fontId="53" fillId="14" borderId="12" xfId="0" applyFont="1" applyFill="1" applyBorder="1" applyAlignment="1">
      <alignment horizontal="center" vertical="center" wrapText="1"/>
    </xf>
    <xf numFmtId="0" fontId="52" fillId="14" borderId="12" xfId="0" applyFont="1" applyFill="1" applyBorder="1" applyAlignment="1">
      <alignment horizontal="center" vertical="center" wrapText="1"/>
    </xf>
    <xf numFmtId="0" fontId="33" fillId="0" borderId="0" xfId="0" applyFont="1" applyAlignment="1">
      <alignment horizontal="left" vertical="top" wrapText="1"/>
    </xf>
    <xf numFmtId="166" fontId="33" fillId="0" borderId="0" xfId="0" applyNumberFormat="1" applyFont="1"/>
    <xf numFmtId="0" fontId="29" fillId="0" borderId="0" xfId="0" applyFont="1" applyAlignment="1">
      <alignment vertical="top" wrapText="1"/>
    </xf>
    <xf numFmtId="166" fontId="39" fillId="0" borderId="0" xfId="0" applyNumberFormat="1" applyFont="1"/>
    <xf numFmtId="166" fontId="48" fillId="0" borderId="0" xfId="0" applyNumberFormat="1" applyFont="1"/>
    <xf numFmtId="0" fontId="41" fillId="0" borderId="18" xfId="0" applyFont="1" applyBorder="1" applyAlignment="1">
      <alignment horizontal="center" vertical="center" wrapText="1"/>
    </xf>
    <xf numFmtId="0" fontId="57" fillId="0" borderId="59" xfId="0" applyFont="1" applyBorder="1"/>
    <xf numFmtId="0" fontId="0" fillId="0" borderId="58" xfId="0" applyBorder="1" applyAlignment="1">
      <alignment horizontal="left"/>
    </xf>
    <xf numFmtId="0" fontId="0" fillId="0" borderId="0" xfId="0" applyAlignment="1">
      <alignment horizontal="left"/>
    </xf>
    <xf numFmtId="0" fontId="38" fillId="0" borderId="0" xfId="0" applyFont="1"/>
    <xf numFmtId="49" fontId="39" fillId="0" borderId="0" xfId="0" applyNumberFormat="1" applyFont="1"/>
    <xf numFmtId="0" fontId="49" fillId="0" borderId="0" xfId="0" applyFont="1" applyAlignment="1">
      <alignment vertical="center"/>
    </xf>
    <xf numFmtId="0" fontId="49" fillId="0" borderId="0" xfId="0" applyFont="1" applyAlignment="1">
      <alignment horizontal="center" vertical="center"/>
    </xf>
    <xf numFmtId="0" fontId="39" fillId="0" borderId="0" xfId="0" applyFont="1" applyAlignment="1">
      <alignment horizontal="center"/>
    </xf>
    <xf numFmtId="0" fontId="39" fillId="0" borderId="0" xfId="0" applyFont="1" applyAlignment="1">
      <alignment horizontal="left" vertical="top" wrapText="1"/>
    </xf>
    <xf numFmtId="0" fontId="48" fillId="0" borderId="12" xfId="0" applyFont="1" applyBorder="1"/>
    <xf numFmtId="0" fontId="37" fillId="0" borderId="0" xfId="0" applyFont="1"/>
    <xf numFmtId="0" fontId="52" fillId="18" borderId="18" xfId="0" applyFont="1" applyFill="1" applyBorder="1"/>
    <xf numFmtId="0" fontId="0" fillId="0" borderId="0" xfId="0" applyAlignment="1">
      <alignment vertical="center"/>
    </xf>
    <xf numFmtId="0" fontId="46" fillId="0" borderId="0" xfId="0" applyFont="1" applyAlignment="1">
      <alignment vertical="center"/>
    </xf>
    <xf numFmtId="0" fontId="71" fillId="0" borderId="0" xfId="0" applyFont="1" applyAlignment="1">
      <alignment vertical="center" wrapText="1"/>
    </xf>
    <xf numFmtId="0" fontId="75" fillId="0" borderId="0" xfId="0" applyFont="1" applyAlignment="1">
      <alignment vertical="center"/>
    </xf>
    <xf numFmtId="0" fontId="75" fillId="0" borderId="0" xfId="0" applyFont="1" applyAlignment="1">
      <alignment vertical="center" wrapText="1"/>
    </xf>
    <xf numFmtId="0" fontId="74" fillId="0" borderId="0" xfId="0" applyFont="1" applyAlignment="1">
      <alignment vertical="center"/>
    </xf>
    <xf numFmtId="0" fontId="75" fillId="0" borderId="0" xfId="0" applyFont="1" applyAlignment="1">
      <alignment horizontal="center" vertical="center" wrapText="1"/>
    </xf>
    <xf numFmtId="0" fontId="74" fillId="0" borderId="0" xfId="0" applyFont="1" applyAlignment="1">
      <alignment vertical="center" textRotation="90" wrapText="1"/>
    </xf>
    <xf numFmtId="0" fontId="72" fillId="0" borderId="0" xfId="0" applyFont="1" applyAlignment="1">
      <alignment horizontal="center" vertical="center" wrapText="1"/>
    </xf>
    <xf numFmtId="0" fontId="30" fillId="0" borderId="0" xfId="0" applyFont="1" applyAlignment="1">
      <alignment vertical="center" wrapText="1"/>
    </xf>
    <xf numFmtId="0" fontId="64" fillId="0" borderId="0" xfId="0" applyFont="1" applyAlignment="1">
      <alignment horizontal="center" vertical="center"/>
    </xf>
    <xf numFmtId="0" fontId="64" fillId="0" borderId="0" xfId="0" applyFont="1" applyAlignment="1">
      <alignment vertical="center"/>
    </xf>
    <xf numFmtId="0" fontId="64" fillId="0" borderId="0" xfId="0" applyFont="1" applyAlignment="1">
      <alignment vertical="center" wrapText="1"/>
    </xf>
    <xf numFmtId="0" fontId="73" fillId="0" borderId="0" xfId="0" applyFont="1" applyAlignment="1">
      <alignment vertical="center" wrapText="1"/>
    </xf>
    <xf numFmtId="0" fontId="72" fillId="0" borderId="0" xfId="0" applyFont="1" applyAlignment="1">
      <alignment vertical="center" wrapText="1"/>
    </xf>
    <xf numFmtId="0" fontId="72" fillId="0" borderId="0" xfId="0" applyFont="1" applyAlignment="1">
      <alignment vertical="center"/>
    </xf>
    <xf numFmtId="0" fontId="33" fillId="29" borderId="0" xfId="0" applyFont="1" applyFill="1"/>
    <xf numFmtId="0" fontId="76" fillId="0" borderId="60" xfId="0" applyFont="1" applyBorder="1"/>
    <xf numFmtId="0" fontId="76" fillId="0" borderId="61" xfId="0" applyFont="1" applyBorder="1"/>
    <xf numFmtId="0" fontId="76" fillId="0" borderId="62" xfId="0" applyFont="1" applyBorder="1"/>
    <xf numFmtId="166" fontId="0" fillId="0" borderId="0" xfId="0" applyNumberFormat="1"/>
    <xf numFmtId="166" fontId="57" fillId="0" borderId="0" xfId="0" applyNumberFormat="1" applyFont="1"/>
    <xf numFmtId="166" fontId="49" fillId="0" borderId="0" xfId="0" applyNumberFormat="1" applyFont="1" applyAlignment="1">
      <alignment vertical="center"/>
    </xf>
    <xf numFmtId="0" fontId="33" fillId="5" borderId="0" xfId="0" applyFont="1" applyFill="1"/>
    <xf numFmtId="0" fontId="51" fillId="5" borderId="0" xfId="0" applyFont="1" applyFill="1"/>
    <xf numFmtId="0" fontId="39" fillId="0" borderId="0" xfId="0" applyFont="1" applyAlignment="1">
      <alignment horizontal="left"/>
    </xf>
    <xf numFmtId="0" fontId="44" fillId="0" borderId="0" xfId="0" applyFont="1"/>
    <xf numFmtId="0" fontId="39" fillId="0" borderId="0" xfId="0" applyFont="1" applyAlignment="1">
      <alignment horizontal="center" vertical="top" wrapText="1"/>
    </xf>
    <xf numFmtId="0" fontId="51" fillId="0" borderId="0" xfId="0" applyFont="1" applyAlignment="1">
      <alignment wrapText="1"/>
    </xf>
    <xf numFmtId="0" fontId="29" fillId="0" borderId="0" xfId="0" applyFont="1" applyAlignment="1">
      <alignment vertical="center"/>
    </xf>
    <xf numFmtId="0" fontId="39" fillId="0" borderId="0" xfId="0" applyFont="1" applyAlignment="1">
      <alignment horizontal="left" wrapText="1"/>
    </xf>
    <xf numFmtId="166" fontId="78" fillId="0" borderId="0" xfId="0" applyNumberFormat="1" applyFont="1"/>
    <xf numFmtId="0" fontId="0" fillId="0" borderId="12" xfId="0" applyBorder="1"/>
    <xf numFmtId="0" fontId="29" fillId="0" borderId="12" xfId="0" applyFont="1" applyBorder="1" applyAlignment="1">
      <alignment wrapText="1"/>
    </xf>
    <xf numFmtId="0" fontId="39" fillId="0" borderId="0" xfId="0" applyFont="1" applyAlignment="1">
      <alignment horizontal="left" vertical="center" wrapText="1"/>
    </xf>
    <xf numFmtId="0" fontId="48" fillId="0" borderId="0" xfId="0" applyFont="1" applyAlignment="1">
      <alignment vertical="center"/>
    </xf>
    <xf numFmtId="0" fontId="48" fillId="0" borderId="12" xfId="0" applyFont="1" applyBorder="1" applyAlignment="1">
      <alignment vertical="center"/>
    </xf>
    <xf numFmtId="166" fontId="47" fillId="0" borderId="12" xfId="0" applyNumberFormat="1" applyFont="1" applyBorder="1" applyAlignment="1">
      <alignment vertical="center"/>
    </xf>
    <xf numFmtId="166" fontId="47" fillId="0" borderId="12" xfId="0" applyNumberFormat="1" applyFont="1" applyBorder="1" applyAlignment="1">
      <alignment horizontal="center" vertical="center" wrapText="1"/>
    </xf>
    <xf numFmtId="166" fontId="47" fillId="0" borderId="13" xfId="0" applyNumberFormat="1" applyFont="1" applyBorder="1" applyAlignment="1">
      <alignment vertical="center"/>
    </xf>
    <xf numFmtId="0" fontId="48" fillId="0" borderId="0" xfId="0" applyFont="1" applyAlignment="1">
      <alignment horizontal="center" vertical="center"/>
    </xf>
    <xf numFmtId="166" fontId="47" fillId="0" borderId="18" xfId="0" applyNumberFormat="1" applyFont="1" applyBorder="1" applyAlignment="1">
      <alignment horizontal="center" vertical="center" wrapText="1"/>
    </xf>
    <xf numFmtId="166" fontId="47" fillId="0" borderId="12" xfId="0" applyNumberFormat="1" applyFont="1" applyBorder="1" applyAlignment="1">
      <alignment horizontal="center" vertical="center"/>
    </xf>
    <xf numFmtId="166" fontId="47" fillId="0" borderId="12" xfId="0" applyNumberFormat="1" applyFont="1" applyBorder="1" applyAlignment="1">
      <alignment vertical="center" wrapText="1"/>
    </xf>
    <xf numFmtId="166" fontId="47" fillId="0" borderId="0" xfId="0" applyNumberFormat="1" applyFont="1" applyAlignment="1">
      <alignment vertical="center" wrapText="1"/>
    </xf>
    <xf numFmtId="166" fontId="84" fillId="0" borderId="0" xfId="0" applyNumberFormat="1" applyFont="1" applyAlignment="1">
      <alignment vertical="center" wrapText="1"/>
    </xf>
    <xf numFmtId="9" fontId="47" fillId="0" borderId="12" xfId="22" applyFont="1" applyBorder="1" applyAlignment="1">
      <alignment vertical="center" wrapText="1"/>
    </xf>
    <xf numFmtId="0" fontId="47" fillId="23" borderId="12" xfId="0" applyFont="1" applyFill="1" applyBorder="1" applyAlignment="1">
      <alignment horizontal="center" vertical="center" wrapText="1"/>
    </xf>
    <xf numFmtId="166" fontId="48" fillId="24" borderId="12" xfId="0" applyNumberFormat="1" applyFont="1" applyFill="1" applyBorder="1" applyAlignment="1">
      <alignment vertical="center"/>
    </xf>
    <xf numFmtId="166" fontId="47" fillId="24" borderId="12" xfId="0" applyNumberFormat="1" applyFont="1" applyFill="1" applyBorder="1" applyAlignment="1">
      <alignment horizontal="center" vertical="center"/>
    </xf>
    <xf numFmtId="49" fontId="47" fillId="24" borderId="12" xfId="0" applyNumberFormat="1" applyFont="1" applyFill="1" applyBorder="1" applyAlignment="1">
      <alignment vertical="center" wrapText="1"/>
    </xf>
    <xf numFmtId="49" fontId="48" fillId="24" borderId="12" xfId="0" applyNumberFormat="1" applyFont="1" applyFill="1" applyBorder="1" applyAlignment="1">
      <alignment vertical="center" wrapText="1"/>
    </xf>
    <xf numFmtId="166" fontId="47" fillId="23" borderId="12" xfId="0" applyNumberFormat="1" applyFont="1" applyFill="1" applyBorder="1" applyAlignment="1">
      <alignment horizontal="center" vertical="center"/>
    </xf>
    <xf numFmtId="0" fontId="47" fillId="23" borderId="12" xfId="0" applyFont="1" applyFill="1" applyBorder="1" applyAlignment="1">
      <alignment horizontal="center" vertical="center"/>
    </xf>
    <xf numFmtId="0" fontId="47" fillId="23" borderId="12" xfId="0" applyFont="1" applyFill="1" applyBorder="1" applyAlignment="1">
      <alignment horizontal="left" vertical="center"/>
    </xf>
    <xf numFmtId="0" fontId="89" fillId="0" borderId="0" xfId="0" applyFont="1"/>
    <xf numFmtId="0" fontId="47" fillId="11" borderId="12" xfId="0" applyFont="1" applyFill="1" applyBorder="1" applyAlignment="1">
      <alignment horizontal="center" vertical="center" wrapText="1"/>
    </xf>
    <xf numFmtId="0" fontId="48" fillId="0" borderId="12" xfId="0" applyFont="1" applyBorder="1" applyAlignment="1">
      <alignment horizontal="left" vertical="center" wrapText="1"/>
    </xf>
    <xf numFmtId="0" fontId="47" fillId="11" borderId="12" xfId="0" applyFont="1" applyFill="1" applyBorder="1" applyAlignment="1">
      <alignment horizontal="left" vertical="center" wrapText="1"/>
    </xf>
    <xf numFmtId="0" fontId="47" fillId="0" borderId="12" xfId="0" applyFont="1" applyBorder="1" applyAlignment="1">
      <alignment horizontal="left" vertical="center" wrapText="1"/>
    </xf>
    <xf numFmtId="0" fontId="48" fillId="28" borderId="12" xfId="0" applyFont="1" applyFill="1" applyBorder="1" applyAlignment="1">
      <alignment horizontal="left" vertical="center" wrapText="1"/>
    </xf>
    <xf numFmtId="0" fontId="90" fillId="28" borderId="12" xfId="0" applyFont="1" applyFill="1" applyBorder="1" applyAlignment="1">
      <alignment horizontal="left" vertical="center" wrapText="1"/>
    </xf>
    <xf numFmtId="0" fontId="90" fillId="0" borderId="12" xfId="0" applyFont="1" applyBorder="1" applyAlignment="1">
      <alignment horizontal="left" vertical="center" wrapText="1"/>
    </xf>
    <xf numFmtId="0" fontId="48" fillId="0" borderId="0" xfId="0" applyFont="1" applyAlignment="1">
      <alignment vertical="top"/>
    </xf>
    <xf numFmtId="0" fontId="47" fillId="11" borderId="13" xfId="0" applyFont="1" applyFill="1" applyBorder="1" applyAlignment="1">
      <alignment horizontal="center" vertical="center" wrapText="1"/>
    </xf>
    <xf numFmtId="0" fontId="48" fillId="11" borderId="27" xfId="0" applyFont="1" applyFill="1" applyBorder="1"/>
    <xf numFmtId="0" fontId="48" fillId="11" borderId="15" xfId="0" applyFont="1" applyFill="1" applyBorder="1"/>
    <xf numFmtId="166" fontId="47" fillId="0" borderId="0" xfId="0" applyNumberFormat="1" applyFont="1" applyAlignment="1">
      <alignment horizontal="center" vertical="center" wrapText="1"/>
    </xf>
    <xf numFmtId="166" fontId="47" fillId="0" borderId="0" xfId="0" applyNumberFormat="1" applyFont="1" applyAlignment="1">
      <alignment horizontal="center" vertical="center"/>
    </xf>
    <xf numFmtId="166" fontId="84" fillId="0" borderId="0" xfId="0" applyNumberFormat="1" applyFont="1" applyAlignment="1">
      <alignment horizontal="center" vertical="center" wrapText="1"/>
    </xf>
    <xf numFmtId="166" fontId="47" fillId="0" borderId="7" xfId="0" applyNumberFormat="1" applyFont="1" applyBorder="1" applyAlignment="1">
      <alignment horizontal="center" vertical="center"/>
    </xf>
    <xf numFmtId="9" fontId="47" fillId="0" borderId="18" xfId="22" applyFont="1" applyFill="1" applyBorder="1" applyAlignment="1">
      <alignment horizontal="center" vertical="center" wrapText="1"/>
    </xf>
    <xf numFmtId="0" fontId="47" fillId="23" borderId="12" xfId="0" applyFont="1" applyFill="1" applyBorder="1" applyAlignment="1">
      <alignment horizontal="left" vertical="center" wrapText="1"/>
    </xf>
    <xf numFmtId="166" fontId="48" fillId="23" borderId="12" xfId="0" applyNumberFormat="1" applyFont="1" applyFill="1" applyBorder="1" applyAlignment="1">
      <alignment horizontal="left" vertical="center"/>
    </xf>
    <xf numFmtId="49" fontId="48" fillId="0" borderId="0" xfId="0" applyNumberFormat="1" applyFont="1"/>
    <xf numFmtId="0" fontId="33" fillId="0" borderId="0" xfId="0" applyFont="1" applyAlignment="1">
      <alignment horizontal="center" vertical="top"/>
    </xf>
    <xf numFmtId="0" fontId="33" fillId="0" borderId="0" xfId="0" applyFont="1" applyAlignment="1">
      <alignment horizontal="center"/>
    </xf>
    <xf numFmtId="0" fontId="29" fillId="0" borderId="0" xfId="0" applyFont="1" applyAlignment="1">
      <alignment horizontal="center" vertical="top" wrapText="1"/>
    </xf>
    <xf numFmtId="0" fontId="48" fillId="0" borderId="0" xfId="0" applyFont="1" applyAlignment="1">
      <alignment horizontal="center"/>
    </xf>
    <xf numFmtId="0" fontId="85" fillId="0" borderId="12" xfId="0" applyFont="1" applyBorder="1" applyAlignment="1">
      <alignment horizontal="center" vertical="center" wrapText="1"/>
    </xf>
    <xf numFmtId="49" fontId="47" fillId="24" borderId="18" xfId="0" applyNumberFormat="1" applyFont="1" applyFill="1" applyBorder="1" applyAlignment="1">
      <alignment vertical="top" wrapText="1"/>
    </xf>
    <xf numFmtId="166" fontId="47" fillId="24" borderId="12" xfId="0" applyNumberFormat="1" applyFont="1" applyFill="1" applyBorder="1" applyAlignment="1">
      <alignment horizontal="center" vertical="top"/>
    </xf>
    <xf numFmtId="0" fontId="48" fillId="25" borderId="7" xfId="0" applyFont="1" applyFill="1" applyBorder="1" applyAlignment="1">
      <alignment horizontal="center" vertical="center" textRotation="90" wrapText="1"/>
    </xf>
    <xf numFmtId="49" fontId="47" fillId="24" borderId="20" xfId="0" applyNumberFormat="1" applyFont="1" applyFill="1" applyBorder="1" applyAlignment="1">
      <alignment vertical="top" wrapText="1"/>
    </xf>
    <xf numFmtId="166" fontId="47" fillId="23" borderId="12" xfId="0" applyNumberFormat="1" applyFont="1" applyFill="1" applyBorder="1" applyAlignment="1">
      <alignment horizontal="left" vertical="center"/>
    </xf>
    <xf numFmtId="166" fontId="84" fillId="0" borderId="28" xfId="0" applyNumberFormat="1" applyFont="1" applyBorder="1" applyAlignment="1">
      <alignment vertical="center" wrapText="1"/>
    </xf>
    <xf numFmtId="166" fontId="84" fillId="0" borderId="0" xfId="0" applyNumberFormat="1" applyFont="1" applyAlignment="1">
      <alignment horizontal="left" vertical="center" wrapText="1"/>
    </xf>
    <xf numFmtId="9" fontId="84" fillId="0" borderId="18" xfId="22" applyFont="1" applyBorder="1" applyAlignment="1">
      <alignment horizontal="center" vertical="center" wrapText="1"/>
    </xf>
    <xf numFmtId="49" fontId="48" fillId="24" borderId="20" xfId="0" applyNumberFormat="1" applyFont="1" applyFill="1" applyBorder="1" applyAlignment="1">
      <alignment horizontal="center" vertical="center" wrapText="1"/>
    </xf>
    <xf numFmtId="9" fontId="84" fillId="0" borderId="12" xfId="22" applyFont="1" applyBorder="1" applyAlignment="1">
      <alignment horizontal="center" vertical="center"/>
    </xf>
    <xf numFmtId="0" fontId="47" fillId="0" borderId="12" xfId="0" applyFont="1" applyBorder="1" applyAlignment="1">
      <alignment vertical="center"/>
    </xf>
    <xf numFmtId="49" fontId="48" fillId="24" borderId="12" xfId="0" applyNumberFormat="1" applyFont="1" applyFill="1" applyBorder="1" applyAlignment="1">
      <alignment horizontal="center" vertical="center" wrapText="1"/>
    </xf>
    <xf numFmtId="166" fontId="47" fillId="0" borderId="18" xfId="0" applyNumberFormat="1" applyFont="1" applyBorder="1" applyAlignment="1">
      <alignment horizontal="left" vertical="center"/>
    </xf>
    <xf numFmtId="166" fontId="47" fillId="0" borderId="17" xfId="0" applyNumberFormat="1" applyFont="1" applyBorder="1" applyAlignment="1">
      <alignment horizontal="left" vertical="center"/>
    </xf>
    <xf numFmtId="166" fontId="47" fillId="14" borderId="12" xfId="0" applyNumberFormat="1" applyFont="1" applyFill="1" applyBorder="1" applyAlignment="1">
      <alignment horizontal="left" vertical="center"/>
    </xf>
    <xf numFmtId="166" fontId="47" fillId="0" borderId="12" xfId="0" applyNumberFormat="1" applyFont="1" applyBorder="1" applyAlignment="1">
      <alignment horizontal="left" vertical="center"/>
    </xf>
    <xf numFmtId="166" fontId="47" fillId="0" borderId="13" xfId="0" applyNumberFormat="1" applyFont="1" applyBorder="1" applyAlignment="1">
      <alignment horizontal="left" vertical="center"/>
    </xf>
    <xf numFmtId="166" fontId="47" fillId="14" borderId="17" xfId="0" applyNumberFormat="1" applyFont="1" applyFill="1" applyBorder="1" applyAlignment="1">
      <alignment horizontal="left" vertical="center"/>
    </xf>
    <xf numFmtId="49" fontId="47" fillId="23" borderId="12" xfId="0" applyNumberFormat="1" applyFont="1" applyFill="1" applyBorder="1" applyAlignment="1">
      <alignment horizontal="left" vertical="center"/>
    </xf>
    <xf numFmtId="49" fontId="47" fillId="23" borderId="12" xfId="0" applyNumberFormat="1" applyFont="1" applyFill="1" applyBorder="1" applyAlignment="1">
      <alignment horizontal="left" vertical="center" wrapText="1"/>
    </xf>
    <xf numFmtId="166" fontId="84" fillId="0" borderId="12" xfId="0" applyNumberFormat="1" applyFont="1" applyBorder="1" applyAlignment="1">
      <alignment horizontal="left" vertical="center"/>
    </xf>
    <xf numFmtId="166" fontId="47" fillId="0" borderId="0" xfId="0" applyNumberFormat="1" applyFont="1" applyAlignment="1">
      <alignment horizontal="left" vertical="center"/>
    </xf>
    <xf numFmtId="166" fontId="47" fillId="14" borderId="13" xfId="0" applyNumberFormat="1" applyFont="1" applyFill="1" applyBorder="1" applyAlignment="1">
      <alignment horizontal="left" vertical="center"/>
    </xf>
    <xf numFmtId="166" fontId="48" fillId="24" borderId="12" xfId="0" applyNumberFormat="1" applyFont="1" applyFill="1" applyBorder="1" applyAlignment="1">
      <alignment horizontal="left" vertical="center"/>
    </xf>
    <xf numFmtId="0" fontId="47" fillId="0" borderId="0" xfId="0" applyFont="1" applyAlignment="1">
      <alignment horizontal="left" vertical="center" wrapText="1"/>
    </xf>
    <xf numFmtId="0" fontId="48" fillId="0" borderId="28" xfId="0" applyFont="1" applyBorder="1" applyAlignment="1">
      <alignment horizontal="left" vertical="center"/>
    </xf>
    <xf numFmtId="0" fontId="48" fillId="0" borderId="0" xfId="0" applyFont="1" applyAlignment="1">
      <alignment horizontal="left" vertical="center"/>
    </xf>
    <xf numFmtId="0" fontId="47" fillId="0" borderId="0" xfId="0" applyFont="1" applyAlignment="1">
      <alignment horizontal="left" vertical="center"/>
    </xf>
    <xf numFmtId="166" fontId="47" fillId="0" borderId="0" xfId="0" applyNumberFormat="1" applyFont="1" applyAlignment="1">
      <alignment horizontal="left" vertical="center" wrapText="1"/>
    </xf>
    <xf numFmtId="9" fontId="47" fillId="0" borderId="18" xfId="22" applyFont="1" applyBorder="1" applyAlignment="1">
      <alignment horizontal="left" vertical="center" wrapText="1"/>
    </xf>
    <xf numFmtId="166" fontId="47" fillId="0" borderId="12" xfId="0" applyNumberFormat="1" applyFont="1" applyBorder="1" applyAlignment="1">
      <alignment horizontal="left" vertical="center" wrapText="1"/>
    </xf>
    <xf numFmtId="166" fontId="47" fillId="0" borderId="18" xfId="0" applyNumberFormat="1" applyFont="1" applyBorder="1" applyAlignment="1">
      <alignment horizontal="left" vertical="center" wrapText="1"/>
    </xf>
    <xf numFmtId="49" fontId="47" fillId="24" borderId="18" xfId="0" applyNumberFormat="1" applyFont="1" applyFill="1" applyBorder="1" applyAlignment="1">
      <alignment horizontal="center" vertical="top" wrapText="1"/>
    </xf>
    <xf numFmtId="0" fontId="52" fillId="18" borderId="12" xfId="0" applyFont="1" applyFill="1" applyBorder="1" applyAlignment="1">
      <alignment horizontal="center"/>
    </xf>
    <xf numFmtId="0" fontId="52" fillId="18" borderId="18" xfId="0" applyFont="1" applyFill="1" applyBorder="1" applyAlignment="1">
      <alignment horizontal="center"/>
    </xf>
    <xf numFmtId="0" fontId="52" fillId="0" borderId="0" xfId="0" applyFont="1" applyAlignment="1">
      <alignment horizontal="center"/>
    </xf>
    <xf numFmtId="0" fontId="0" fillId="0" borderId="56" xfId="0" applyBorder="1" applyAlignment="1">
      <alignment horizontal="center"/>
    </xf>
    <xf numFmtId="0" fontId="35" fillId="10" borderId="52" xfId="0" applyFont="1" applyFill="1" applyBorder="1" applyAlignment="1">
      <alignment horizontal="center" vertical="center" wrapText="1"/>
    </xf>
    <xf numFmtId="0" fontId="0" fillId="10" borderId="52" xfId="0" applyFill="1" applyBorder="1" applyAlignment="1">
      <alignment horizontal="center" vertical="center" wrapText="1"/>
    </xf>
    <xf numFmtId="0" fontId="37" fillId="11" borderId="52" xfId="0" applyFont="1" applyFill="1" applyBorder="1" applyAlignment="1">
      <alignment horizontal="center" vertical="center" wrapText="1"/>
    </xf>
    <xf numFmtId="0" fontId="0" fillId="0" borderId="52" xfId="0" applyBorder="1" applyAlignment="1">
      <alignment horizontal="center" vertical="center" wrapText="1"/>
    </xf>
    <xf numFmtId="0" fontId="0" fillId="0" borderId="52" xfId="0" applyBorder="1" applyAlignment="1">
      <alignment horizontal="center" vertical="center"/>
    </xf>
    <xf numFmtId="0" fontId="37" fillId="11" borderId="52" xfId="0" applyFont="1" applyFill="1" applyBorder="1" applyAlignment="1">
      <alignment horizontal="center" vertical="center"/>
    </xf>
    <xf numFmtId="0" fontId="0" fillId="0" borderId="61" xfId="0" applyBorder="1" applyAlignment="1">
      <alignment horizontal="center"/>
    </xf>
    <xf numFmtId="0" fontId="47" fillId="0" borderId="0" xfId="0" applyFont="1" applyAlignment="1">
      <alignment horizontal="center"/>
    </xf>
    <xf numFmtId="166" fontId="84" fillId="0" borderId="0" xfId="0" applyNumberFormat="1" applyFont="1" applyAlignment="1">
      <alignment horizontal="center" vertical="center"/>
    </xf>
    <xf numFmtId="166" fontId="84" fillId="0" borderId="12" xfId="0" applyNumberFormat="1" applyFont="1" applyBorder="1" applyAlignment="1">
      <alignment horizontal="center" vertical="center"/>
    </xf>
    <xf numFmtId="0" fontId="84" fillId="12" borderId="12" xfId="0" applyFont="1" applyFill="1" applyBorder="1" applyAlignment="1">
      <alignment horizontal="center" vertical="center" wrapText="1"/>
    </xf>
    <xf numFmtId="166" fontId="84" fillId="0" borderId="18" xfId="0" applyNumberFormat="1" applyFont="1" applyBorder="1" applyAlignment="1">
      <alignment horizontal="center" vertical="center" wrapText="1"/>
    </xf>
    <xf numFmtId="166" fontId="84" fillId="0" borderId="7" xfId="0" applyNumberFormat="1" applyFont="1" applyBorder="1" applyAlignment="1">
      <alignment horizontal="center" vertical="center"/>
    </xf>
    <xf numFmtId="166" fontId="84" fillId="0" borderId="12" xfId="0" applyNumberFormat="1" applyFont="1" applyBorder="1" applyAlignment="1">
      <alignment horizontal="center" vertical="center" wrapText="1"/>
    </xf>
    <xf numFmtId="9" fontId="84" fillId="0" borderId="12" xfId="22" applyFont="1" applyFill="1" applyBorder="1" applyAlignment="1">
      <alignment horizontal="center" vertical="top"/>
    </xf>
    <xf numFmtId="9" fontId="84" fillId="0" borderId="7" xfId="22" applyFont="1" applyBorder="1" applyAlignment="1">
      <alignment horizontal="center" vertical="center"/>
    </xf>
    <xf numFmtId="9" fontId="84" fillId="0" borderId="12" xfId="22" applyFont="1" applyBorder="1" applyAlignment="1">
      <alignment horizontal="center" vertical="center" wrapText="1"/>
    </xf>
    <xf numFmtId="166" fontId="97" fillId="0" borderId="12" xfId="0" applyNumberFormat="1" applyFont="1" applyBorder="1" applyAlignment="1">
      <alignment vertical="center"/>
    </xf>
    <xf numFmtId="9" fontId="97" fillId="0" borderId="12" xfId="22" applyFont="1" applyBorder="1" applyAlignment="1">
      <alignment vertical="center"/>
    </xf>
    <xf numFmtId="0" fontId="97" fillId="12" borderId="12" xfId="0" applyFont="1" applyFill="1" applyBorder="1" applyAlignment="1">
      <alignment vertical="center" wrapText="1"/>
    </xf>
    <xf numFmtId="166" fontId="97" fillId="0" borderId="18" xfId="0" applyNumberFormat="1" applyFont="1" applyBorder="1" applyAlignment="1">
      <alignment vertical="center" wrapText="1"/>
    </xf>
    <xf numFmtId="9" fontId="97" fillId="0" borderId="18" xfId="22" applyFont="1" applyBorder="1" applyAlignment="1">
      <alignment vertical="center" wrapText="1"/>
    </xf>
    <xf numFmtId="166" fontId="97" fillId="0" borderId="6" xfId="0" applyNumberFormat="1" applyFont="1" applyBorder="1" applyAlignment="1">
      <alignment vertical="center"/>
    </xf>
    <xf numFmtId="9" fontId="97" fillId="0" borderId="6" xfId="22" applyFont="1" applyFill="1" applyBorder="1" applyAlignment="1">
      <alignment vertical="center"/>
    </xf>
    <xf numFmtId="166" fontId="84" fillId="23" borderId="12" xfId="0" applyNumberFormat="1" applyFont="1" applyFill="1" applyBorder="1" applyAlignment="1">
      <alignment horizontal="left" vertical="center"/>
    </xf>
    <xf numFmtId="166" fontId="84" fillId="0" borderId="18" xfId="0" applyNumberFormat="1" applyFont="1" applyBorder="1" applyAlignment="1">
      <alignment horizontal="left" vertical="center"/>
    </xf>
    <xf numFmtId="166" fontId="84" fillId="14" borderId="12" xfId="0" applyNumberFormat="1" applyFont="1" applyFill="1" applyBorder="1" applyAlignment="1">
      <alignment horizontal="left" vertical="center"/>
    </xf>
    <xf numFmtId="166" fontId="84" fillId="14" borderId="17" xfId="0" applyNumberFormat="1" applyFont="1" applyFill="1" applyBorder="1" applyAlignment="1">
      <alignment horizontal="left" vertical="center"/>
    </xf>
    <xf numFmtId="166" fontId="84" fillId="0" borderId="17" xfId="0" applyNumberFormat="1" applyFont="1" applyBorder="1" applyAlignment="1">
      <alignment horizontal="left" vertical="center"/>
    </xf>
    <xf numFmtId="0" fontId="84" fillId="12" borderId="12" xfId="0" applyFont="1" applyFill="1" applyBorder="1" applyAlignment="1">
      <alignment horizontal="left" vertical="center" wrapText="1"/>
    </xf>
    <xf numFmtId="9" fontId="84" fillId="0" borderId="18" xfId="22" applyFont="1" applyBorder="1" applyAlignment="1">
      <alignment horizontal="left" vertical="center" wrapText="1"/>
    </xf>
    <xf numFmtId="9" fontId="84" fillId="0" borderId="18" xfId="22" applyFont="1" applyFill="1" applyBorder="1" applyAlignment="1">
      <alignment horizontal="left" vertical="center" wrapText="1"/>
    </xf>
    <xf numFmtId="166" fontId="84" fillId="0" borderId="12" xfId="0" applyNumberFormat="1" applyFont="1" applyBorder="1" applyAlignment="1">
      <alignment horizontal="left" vertical="center" wrapText="1"/>
    </xf>
    <xf numFmtId="166" fontId="84" fillId="0" borderId="18" xfId="0" applyNumberFormat="1" applyFont="1" applyBorder="1" applyAlignment="1">
      <alignment horizontal="left" vertical="center" wrapText="1"/>
    </xf>
    <xf numFmtId="9" fontId="84" fillId="11" borderId="12" xfId="22" applyFont="1" applyFill="1" applyBorder="1" applyAlignment="1">
      <alignment horizontal="center" vertical="top"/>
    </xf>
    <xf numFmtId="166" fontId="84" fillId="0" borderId="6" xfId="0" applyNumberFormat="1" applyFont="1" applyBorder="1" applyAlignment="1">
      <alignment horizontal="center" vertical="center"/>
    </xf>
    <xf numFmtId="49" fontId="48" fillId="24" borderId="6" xfId="0" applyNumberFormat="1" applyFont="1" applyFill="1" applyBorder="1" applyAlignment="1">
      <alignment horizontal="center" vertical="top"/>
    </xf>
    <xf numFmtId="49" fontId="48" fillId="0" borderId="12" xfId="0" applyNumberFormat="1" applyFont="1" applyBorder="1" applyAlignment="1">
      <alignment horizontal="left" vertical="center" wrapText="1"/>
    </xf>
    <xf numFmtId="0" fontId="33" fillId="0" borderId="0" xfId="0" applyFont="1" applyAlignment="1">
      <alignment horizontal="left"/>
    </xf>
    <xf numFmtId="166" fontId="84" fillId="24" borderId="15" xfId="0" applyNumberFormat="1" applyFont="1" applyFill="1" applyBorder="1" applyAlignment="1">
      <alignment horizontal="center" vertical="center"/>
    </xf>
    <xf numFmtId="0" fontId="33" fillId="0" borderId="15" xfId="0" applyFont="1" applyBorder="1" applyAlignment="1">
      <alignment horizontal="center" vertical="top"/>
    </xf>
    <xf numFmtId="0" fontId="33" fillId="0" borderId="12" xfId="0" applyFont="1" applyBorder="1" applyAlignment="1">
      <alignment horizontal="center" vertical="top"/>
    </xf>
    <xf numFmtId="49" fontId="48" fillId="24" borderId="12" xfId="0" applyNumberFormat="1" applyFont="1" applyFill="1" applyBorder="1" applyAlignment="1">
      <alignment horizontal="left" vertical="center" wrapText="1"/>
    </xf>
    <xf numFmtId="49" fontId="48" fillId="24" borderId="17" xfId="0" applyNumberFormat="1" applyFont="1" applyFill="1" applyBorder="1" applyAlignment="1">
      <alignment horizontal="left" vertical="center" wrapText="1"/>
    </xf>
    <xf numFmtId="0" fontId="33" fillId="28" borderId="0" xfId="0" applyFont="1" applyFill="1"/>
    <xf numFmtId="0" fontId="51" fillId="0" borderId="0" xfId="0" applyFont="1" applyAlignment="1">
      <alignment vertical="top"/>
    </xf>
    <xf numFmtId="0" fontId="38" fillId="0" borderId="0" xfId="0" applyFont="1" applyAlignment="1">
      <alignment vertical="top"/>
    </xf>
    <xf numFmtId="0" fontId="33" fillId="0" borderId="30" xfId="0" applyFont="1" applyBorder="1" applyAlignment="1">
      <alignment vertical="center"/>
    </xf>
    <xf numFmtId="0" fontId="60" fillId="0" borderId="0" xfId="0" applyFont="1" applyAlignment="1">
      <alignment horizontal="left" vertical="center"/>
    </xf>
    <xf numFmtId="49" fontId="48" fillId="0" borderId="17" xfId="0" applyNumberFormat="1" applyFont="1" applyBorder="1" applyAlignment="1">
      <alignment horizontal="left" vertical="center" wrapText="1"/>
    </xf>
    <xf numFmtId="0" fontId="48" fillId="0" borderId="18" xfId="0" applyFont="1" applyBorder="1" applyAlignment="1">
      <alignment horizontal="left" vertical="center" wrapText="1"/>
    </xf>
    <xf numFmtId="166" fontId="48" fillId="0" borderId="12" xfId="0" applyNumberFormat="1" applyFont="1" applyBorder="1" applyAlignment="1">
      <alignment horizontal="left" vertical="center"/>
    </xf>
    <xf numFmtId="0" fontId="48" fillId="0" borderId="12" xfId="0" applyFont="1" applyBorder="1" applyAlignment="1">
      <alignment horizontal="left" vertical="center"/>
    </xf>
    <xf numFmtId="166" fontId="47" fillId="14" borderId="18" xfId="0" applyNumberFormat="1" applyFont="1" applyFill="1" applyBorder="1" applyAlignment="1">
      <alignment horizontal="left" vertical="center"/>
    </xf>
    <xf numFmtId="0" fontId="80" fillId="0" borderId="57" xfId="0" applyFont="1" applyBorder="1" applyAlignment="1">
      <alignment horizontal="left" vertical="center"/>
    </xf>
    <xf numFmtId="0" fontId="33" fillId="0" borderId="58" xfId="0" applyFont="1" applyBorder="1" applyAlignment="1">
      <alignment horizontal="left" vertical="center"/>
    </xf>
    <xf numFmtId="0" fontId="80" fillId="0" borderId="59" xfId="0" applyFont="1" applyBorder="1" applyAlignment="1">
      <alignment horizontal="left" vertical="center"/>
    </xf>
    <xf numFmtId="0" fontId="39" fillId="0" borderId="0" xfId="0" applyFont="1" applyAlignment="1">
      <alignment horizontal="left" vertical="center"/>
    </xf>
    <xf numFmtId="0" fontId="29" fillId="0" borderId="0" xfId="0" applyFont="1" applyAlignment="1">
      <alignment horizontal="left" vertical="center"/>
    </xf>
    <xf numFmtId="166" fontId="60" fillId="0" borderId="0" xfId="0" applyNumberFormat="1" applyFont="1" applyAlignment="1">
      <alignment horizontal="left" vertical="center"/>
    </xf>
    <xf numFmtId="0" fontId="33" fillId="0" borderId="51" xfId="0" applyFont="1" applyBorder="1" applyAlignment="1">
      <alignment horizontal="left" vertical="center"/>
    </xf>
    <xf numFmtId="166" fontId="33" fillId="0" borderId="0" xfId="0" applyNumberFormat="1" applyFont="1" applyAlignment="1">
      <alignment horizontal="left" vertical="center"/>
    </xf>
    <xf numFmtId="0" fontId="82" fillId="0" borderId="0" xfId="0" applyFont="1" applyAlignment="1">
      <alignment horizontal="left" vertical="center"/>
    </xf>
    <xf numFmtId="0" fontId="80" fillId="0" borderId="0" xfId="0" applyFont="1" applyAlignment="1">
      <alignment horizontal="left" vertical="center"/>
    </xf>
    <xf numFmtId="0" fontId="87" fillId="0" borderId="0" xfId="0" applyFont="1" applyAlignment="1">
      <alignment horizontal="left" vertical="center"/>
    </xf>
    <xf numFmtId="49" fontId="48" fillId="0" borderId="0" xfId="0" applyNumberFormat="1" applyFont="1" applyAlignment="1">
      <alignment horizontal="left" vertical="center"/>
    </xf>
    <xf numFmtId="0" fontId="32" fillId="0" borderId="0" xfId="0" applyFont="1" applyAlignment="1">
      <alignment horizontal="left" vertical="center" wrapText="1"/>
    </xf>
    <xf numFmtId="0" fontId="59" fillId="0" borderId="0" xfId="0" applyFont="1" applyAlignment="1">
      <alignment horizontal="left" vertical="center"/>
    </xf>
    <xf numFmtId="9" fontId="47" fillId="23" borderId="12" xfId="22" applyFont="1" applyFill="1" applyBorder="1" applyAlignment="1">
      <alignment horizontal="left" vertical="center" wrapText="1"/>
    </xf>
    <xf numFmtId="166" fontId="47" fillId="23" borderId="12" xfId="0" applyNumberFormat="1" applyFont="1" applyFill="1" applyBorder="1" applyAlignment="1">
      <alignment horizontal="left" vertical="center" wrapText="1"/>
    </xf>
    <xf numFmtId="0" fontId="85" fillId="23" borderId="12" xfId="0" applyFont="1" applyFill="1" applyBorder="1" applyAlignment="1">
      <alignment horizontal="left" vertical="center" wrapText="1"/>
    </xf>
    <xf numFmtId="9" fontId="47" fillId="0" borderId="12" xfId="22" applyFont="1" applyFill="1" applyBorder="1" applyAlignment="1">
      <alignment horizontal="left" vertical="center" wrapText="1"/>
    </xf>
    <xf numFmtId="49" fontId="47" fillId="0" borderId="12" xfId="0" applyNumberFormat="1" applyFont="1" applyBorder="1" applyAlignment="1">
      <alignment horizontal="left" vertical="center"/>
    </xf>
    <xf numFmtId="49" fontId="47" fillId="14" borderId="12" xfId="0" applyNumberFormat="1" applyFont="1" applyFill="1" applyBorder="1" applyAlignment="1">
      <alignment horizontal="left" vertical="center"/>
    </xf>
    <xf numFmtId="9" fontId="47" fillId="14" borderId="12" xfId="22" applyFont="1" applyFill="1" applyBorder="1" applyAlignment="1">
      <alignment horizontal="left" vertical="center" wrapText="1"/>
    </xf>
    <xf numFmtId="9" fontId="47" fillId="24" borderId="12" xfId="22" applyFont="1" applyFill="1" applyBorder="1" applyAlignment="1">
      <alignment horizontal="left" vertical="center" wrapText="1"/>
    </xf>
    <xf numFmtId="49" fontId="47" fillId="24" borderId="12" xfId="0" applyNumberFormat="1" applyFont="1" applyFill="1" applyBorder="1" applyAlignment="1">
      <alignment horizontal="left" vertical="center" wrapText="1"/>
    </xf>
    <xf numFmtId="49" fontId="84" fillId="24" borderId="12" xfId="0" applyNumberFormat="1" applyFont="1" applyFill="1" applyBorder="1" applyAlignment="1">
      <alignment horizontal="left" vertical="center" wrapText="1"/>
    </xf>
    <xf numFmtId="0" fontId="48" fillId="24" borderId="12" xfId="0" applyFont="1" applyFill="1" applyBorder="1" applyAlignment="1">
      <alignment horizontal="left" vertical="center"/>
    </xf>
    <xf numFmtId="166" fontId="47" fillId="24" borderId="12" xfId="0" applyNumberFormat="1" applyFont="1" applyFill="1" applyBorder="1" applyAlignment="1">
      <alignment horizontal="left" vertical="center"/>
    </xf>
    <xf numFmtId="166" fontId="47" fillId="15" borderId="12" xfId="0" applyNumberFormat="1" applyFont="1" applyFill="1" applyBorder="1" applyAlignment="1">
      <alignment horizontal="left" vertical="center" wrapText="1"/>
    </xf>
    <xf numFmtId="0" fontId="47" fillId="24" borderId="0" xfId="0" applyFont="1" applyFill="1" applyAlignment="1">
      <alignment horizontal="left" vertical="center" wrapText="1"/>
    </xf>
    <xf numFmtId="0" fontId="47" fillId="23" borderId="19" xfId="0" applyFont="1" applyFill="1" applyBorder="1" applyAlignment="1">
      <alignment horizontal="left" vertical="center"/>
    </xf>
    <xf numFmtId="0" fontId="47" fillId="23" borderId="12" xfId="0" applyFont="1" applyFill="1" applyBorder="1" applyAlignment="1">
      <alignment horizontal="left" vertical="center" textRotation="90" wrapText="1"/>
    </xf>
    <xf numFmtId="0" fontId="47" fillId="23" borderId="0" xfId="0" applyFont="1" applyFill="1" applyAlignment="1">
      <alignment horizontal="left" vertical="center"/>
    </xf>
    <xf numFmtId="0" fontId="47" fillId="15" borderId="18" xfId="0" applyFont="1" applyFill="1" applyBorder="1" applyAlignment="1">
      <alignment horizontal="left" vertical="center" wrapText="1"/>
    </xf>
    <xf numFmtId="49" fontId="47" fillId="24" borderId="17" xfId="0" applyNumberFormat="1" applyFont="1" applyFill="1" applyBorder="1" applyAlignment="1">
      <alignment horizontal="left" vertical="center" wrapText="1"/>
    </xf>
    <xf numFmtId="0" fontId="47" fillId="15" borderId="12" xfId="0" applyFont="1" applyFill="1" applyBorder="1" applyAlignment="1">
      <alignment horizontal="left" vertical="center" wrapText="1"/>
    </xf>
    <xf numFmtId="49" fontId="47" fillId="24" borderId="6" xfId="0" applyNumberFormat="1" applyFont="1" applyFill="1" applyBorder="1" applyAlignment="1">
      <alignment horizontal="left" vertical="center"/>
    </xf>
    <xf numFmtId="9" fontId="47" fillId="0" borderId="18" xfId="22" applyFont="1" applyFill="1" applyBorder="1" applyAlignment="1">
      <alignment horizontal="left" vertical="center" wrapText="1"/>
    </xf>
    <xf numFmtId="49" fontId="47" fillId="24" borderId="18" xfId="0" applyNumberFormat="1" applyFont="1" applyFill="1" applyBorder="1" applyAlignment="1">
      <alignment horizontal="left" vertical="center" wrapText="1"/>
    </xf>
    <xf numFmtId="0" fontId="48" fillId="24" borderId="6" xfId="0" applyFont="1" applyFill="1" applyBorder="1" applyAlignment="1">
      <alignment horizontal="left" vertical="center" textRotation="90" wrapText="1"/>
    </xf>
    <xf numFmtId="49" fontId="47" fillId="24" borderId="20" xfId="0" applyNumberFormat="1" applyFont="1" applyFill="1" applyBorder="1" applyAlignment="1">
      <alignment horizontal="left" vertical="center" wrapText="1"/>
    </xf>
    <xf numFmtId="0" fontId="59" fillId="5" borderId="0" xfId="0" applyFont="1" applyFill="1" applyAlignment="1">
      <alignment horizontal="left" vertical="center"/>
    </xf>
    <xf numFmtId="0" fontId="47" fillId="15" borderId="17" xfId="0" applyFont="1" applyFill="1" applyBorder="1" applyAlignment="1">
      <alignment horizontal="left" vertical="center" wrapText="1"/>
    </xf>
    <xf numFmtId="166" fontId="47" fillId="14" borderId="23" xfId="0" applyNumberFormat="1" applyFont="1" applyFill="1" applyBorder="1" applyAlignment="1">
      <alignment horizontal="left" vertical="center"/>
    </xf>
    <xf numFmtId="0" fontId="48" fillId="23" borderId="12" xfId="0" applyFont="1" applyFill="1" applyBorder="1" applyAlignment="1">
      <alignment horizontal="left" vertical="center" textRotation="90" wrapText="1"/>
    </xf>
    <xf numFmtId="0" fontId="47" fillId="22" borderId="12" xfId="0" applyFont="1" applyFill="1" applyBorder="1" applyAlignment="1">
      <alignment horizontal="left" vertical="center" wrapText="1"/>
    </xf>
    <xf numFmtId="0" fontId="48" fillId="0" borderId="18" xfId="0" applyFont="1" applyBorder="1" applyAlignment="1" applyProtection="1">
      <alignment horizontal="left" vertical="center" wrapText="1"/>
      <protection locked="0"/>
    </xf>
    <xf numFmtId="0" fontId="60" fillId="5" borderId="0" xfId="0" applyFont="1" applyFill="1" applyAlignment="1">
      <alignment horizontal="left" vertical="center" wrapText="1"/>
    </xf>
    <xf numFmtId="0" fontId="60" fillId="5" borderId="0" xfId="0" applyFont="1" applyFill="1" applyAlignment="1">
      <alignment horizontal="left" vertical="center"/>
    </xf>
    <xf numFmtId="0" fontId="88" fillId="23" borderId="13" xfId="0" applyFont="1" applyFill="1" applyBorder="1" applyAlignment="1">
      <alignment horizontal="left" vertical="center" textRotation="90" wrapText="1"/>
    </xf>
    <xf numFmtId="49" fontId="48" fillId="24" borderId="0" xfId="0" applyNumberFormat="1" applyFont="1" applyFill="1" applyAlignment="1">
      <alignment horizontal="left" vertical="center" wrapText="1"/>
    </xf>
    <xf numFmtId="49" fontId="47" fillId="24" borderId="0" xfId="0" applyNumberFormat="1" applyFont="1" applyFill="1" applyAlignment="1">
      <alignment horizontal="left" vertical="center" wrapText="1"/>
    </xf>
    <xf numFmtId="0" fontId="47" fillId="24" borderId="30" xfId="0" applyFont="1" applyFill="1" applyBorder="1" applyAlignment="1">
      <alignment horizontal="left" vertical="center" wrapText="1"/>
    </xf>
    <xf numFmtId="49" fontId="48" fillId="24" borderId="30" xfId="0" applyNumberFormat="1" applyFont="1" applyFill="1" applyBorder="1" applyAlignment="1">
      <alignment horizontal="left" vertical="center" wrapText="1"/>
    </xf>
    <xf numFmtId="49" fontId="47" fillId="24" borderId="30" xfId="0" applyNumberFormat="1" applyFont="1" applyFill="1" applyBorder="1" applyAlignment="1">
      <alignment horizontal="left" vertical="center" wrapText="1"/>
    </xf>
    <xf numFmtId="0" fontId="47" fillId="12" borderId="18" xfId="0" applyFont="1" applyFill="1" applyBorder="1" applyAlignment="1">
      <alignment horizontal="left" vertical="center" wrapText="1"/>
    </xf>
    <xf numFmtId="9" fontId="47" fillId="11" borderId="12" xfId="22" applyFont="1" applyFill="1" applyBorder="1" applyAlignment="1">
      <alignment horizontal="left" vertical="center" wrapText="1"/>
    </xf>
    <xf numFmtId="166" fontId="47" fillId="0" borderId="7" xfId="0" applyNumberFormat="1" applyFont="1" applyBorder="1" applyAlignment="1">
      <alignment horizontal="left" vertical="center"/>
    </xf>
    <xf numFmtId="9" fontId="47" fillId="0" borderId="12" xfId="22" applyFont="1" applyBorder="1" applyAlignment="1">
      <alignment horizontal="left" vertical="center" wrapText="1"/>
    </xf>
    <xf numFmtId="0" fontId="62" fillId="0" borderId="0" xfId="0" applyFont="1" applyAlignment="1">
      <alignment horizontal="left" vertical="center"/>
    </xf>
    <xf numFmtId="0" fontId="60" fillId="13" borderId="0" xfId="0" applyFont="1" applyFill="1" applyAlignment="1">
      <alignment horizontal="left" vertical="center"/>
    </xf>
    <xf numFmtId="0" fontId="38" fillId="0" borderId="0" xfId="0" applyFont="1" applyAlignment="1">
      <alignment horizontal="left" vertical="center" wrapText="1"/>
    </xf>
    <xf numFmtId="0" fontId="48" fillId="0" borderId="0" xfId="0" applyFont="1" applyAlignment="1">
      <alignment horizontal="left" vertical="center" wrapText="1"/>
    </xf>
    <xf numFmtId="49" fontId="48" fillId="0" borderId="0" xfId="0" applyNumberFormat="1" applyFont="1" applyAlignment="1">
      <alignment horizontal="left" vertical="center" wrapText="1"/>
    </xf>
    <xf numFmtId="0" fontId="38" fillId="0" borderId="0" xfId="0" applyFont="1" applyAlignment="1">
      <alignment horizontal="left" vertical="center"/>
    </xf>
    <xf numFmtId="166" fontId="84" fillId="23" borderId="12" xfId="0" applyNumberFormat="1" applyFont="1" applyFill="1" applyBorder="1" applyAlignment="1">
      <alignment horizontal="left" vertical="center" wrapText="1"/>
    </xf>
    <xf numFmtId="0" fontId="84" fillId="11" borderId="12" xfId="0" applyFont="1" applyFill="1" applyBorder="1" applyAlignment="1">
      <alignment horizontal="left" vertical="center" wrapText="1"/>
    </xf>
    <xf numFmtId="0" fontId="47" fillId="11" borderId="13" xfId="0" applyFont="1" applyFill="1" applyBorder="1" applyAlignment="1">
      <alignment horizontal="left" vertical="center" wrapText="1"/>
    </xf>
    <xf numFmtId="0" fontId="48" fillId="11" borderId="27" xfId="0" applyFont="1" applyFill="1" applyBorder="1" applyAlignment="1">
      <alignment horizontal="left" vertical="center"/>
    </xf>
    <xf numFmtId="0" fontId="48" fillId="11" borderId="15" xfId="0" applyFont="1" applyFill="1" applyBorder="1" applyAlignment="1">
      <alignment horizontal="left" vertical="center"/>
    </xf>
    <xf numFmtId="166" fontId="84" fillId="0" borderId="7" xfId="0" applyNumberFormat="1" applyFont="1" applyBorder="1" applyAlignment="1">
      <alignment horizontal="left" vertical="center"/>
    </xf>
    <xf numFmtId="166" fontId="84" fillId="0" borderId="20" xfId="0" applyNumberFormat="1" applyFont="1" applyBorder="1" applyAlignment="1">
      <alignment horizontal="left" vertical="center" wrapText="1"/>
    </xf>
    <xf numFmtId="166" fontId="47" fillId="0" borderId="20" xfId="0" applyNumberFormat="1" applyFont="1" applyBorder="1" applyAlignment="1">
      <alignment horizontal="left" vertical="center" wrapText="1"/>
    </xf>
    <xf numFmtId="166" fontId="38" fillId="0" borderId="0" xfId="0" applyNumberFormat="1" applyFont="1" applyAlignment="1">
      <alignment horizontal="left" vertical="center" wrapText="1"/>
    </xf>
    <xf numFmtId="166" fontId="40" fillId="0" borderId="0" xfId="0" applyNumberFormat="1" applyFont="1" applyAlignment="1">
      <alignment horizontal="left" vertical="center" wrapText="1"/>
    </xf>
    <xf numFmtId="166" fontId="39" fillId="0" borderId="0" xfId="0" applyNumberFormat="1" applyFont="1" applyAlignment="1">
      <alignment horizontal="left" vertical="center"/>
    </xf>
    <xf numFmtId="0" fontId="43" fillId="0" borderId="0" xfId="0" applyFont="1" applyAlignment="1">
      <alignment horizontal="left" vertical="center"/>
    </xf>
    <xf numFmtId="0" fontId="39" fillId="13" borderId="0" xfId="0" applyFont="1" applyFill="1" applyAlignment="1">
      <alignment horizontal="left" vertical="center"/>
    </xf>
    <xf numFmtId="0" fontId="49" fillId="0" borderId="0" xfId="0" applyFont="1" applyAlignment="1">
      <alignment horizontal="left" vertical="center"/>
    </xf>
    <xf numFmtId="166" fontId="48" fillId="0" borderId="0" xfId="0" applyNumberFormat="1" applyFont="1" applyAlignment="1">
      <alignment horizontal="left" vertical="center"/>
    </xf>
    <xf numFmtId="166" fontId="97" fillId="23" borderId="12" xfId="0" applyNumberFormat="1" applyFont="1" applyFill="1" applyBorder="1" applyAlignment="1">
      <alignment horizontal="left" vertical="center"/>
    </xf>
    <xf numFmtId="9" fontId="97" fillId="23" borderId="12" xfId="22" applyFont="1" applyFill="1" applyBorder="1" applyAlignment="1">
      <alignment horizontal="left" vertical="center"/>
    </xf>
    <xf numFmtId="166" fontId="97" fillId="0" borderId="18" xfId="0" applyNumberFormat="1" applyFont="1" applyBorder="1" applyAlignment="1">
      <alignment horizontal="left" vertical="center"/>
    </xf>
    <xf numFmtId="166" fontId="97" fillId="0" borderId="12" xfId="0" applyNumberFormat="1" applyFont="1" applyBorder="1" applyAlignment="1">
      <alignment horizontal="left" vertical="center"/>
    </xf>
    <xf numFmtId="166" fontId="97" fillId="14" borderId="12" xfId="0" applyNumberFormat="1" applyFont="1" applyFill="1" applyBorder="1" applyAlignment="1">
      <alignment horizontal="left" vertical="center"/>
    </xf>
    <xf numFmtId="9" fontId="97" fillId="0" borderId="18" xfId="22" applyFont="1" applyBorder="1" applyAlignment="1">
      <alignment horizontal="left" vertical="center"/>
    </xf>
    <xf numFmtId="9" fontId="97" fillId="14" borderId="12" xfId="22" applyFont="1" applyFill="1" applyBorder="1" applyAlignment="1">
      <alignment horizontal="left" vertical="center"/>
    </xf>
    <xf numFmtId="9" fontId="97" fillId="0" borderId="12" xfId="22" applyFont="1" applyBorder="1" applyAlignment="1">
      <alignment horizontal="left" vertical="center"/>
    </xf>
    <xf numFmtId="9" fontId="97" fillId="24" borderId="12" xfId="22" applyFont="1" applyFill="1" applyBorder="1" applyAlignment="1">
      <alignment horizontal="left" vertical="center"/>
    </xf>
    <xf numFmtId="166" fontId="97" fillId="24" borderId="12" xfId="0" applyNumberFormat="1" applyFont="1" applyFill="1" applyBorder="1" applyAlignment="1">
      <alignment horizontal="left" vertical="center"/>
    </xf>
    <xf numFmtId="0" fontId="97" fillId="12" borderId="12" xfId="0" applyFont="1" applyFill="1" applyBorder="1" applyAlignment="1">
      <alignment horizontal="left" vertical="center" wrapText="1"/>
    </xf>
    <xf numFmtId="166" fontId="97" fillId="0" borderId="18" xfId="0" applyNumberFormat="1" applyFont="1" applyBorder="1" applyAlignment="1">
      <alignment horizontal="left" vertical="center" wrapText="1"/>
    </xf>
    <xf numFmtId="9" fontId="97" fillId="0" borderId="18" xfId="22" applyFont="1" applyBorder="1" applyAlignment="1">
      <alignment horizontal="left" vertical="center" wrapText="1"/>
    </xf>
    <xf numFmtId="9" fontId="97" fillId="0" borderId="18" xfId="22" applyFont="1" applyFill="1" applyBorder="1" applyAlignment="1">
      <alignment horizontal="left" vertical="center" wrapText="1"/>
    </xf>
    <xf numFmtId="166" fontId="97" fillId="0" borderId="21" xfId="0" applyNumberFormat="1" applyFont="1" applyBorder="1" applyAlignment="1">
      <alignment horizontal="left" vertical="center"/>
    </xf>
    <xf numFmtId="9" fontId="97" fillId="0" borderId="12" xfId="22" applyFont="1" applyFill="1" applyBorder="1" applyAlignment="1">
      <alignment horizontal="left" vertical="center"/>
    </xf>
    <xf numFmtId="166" fontId="97" fillId="0" borderId="26" xfId="0" applyNumberFormat="1" applyFont="1" applyBorder="1" applyAlignment="1">
      <alignment horizontal="left" vertical="center"/>
    </xf>
    <xf numFmtId="166" fontId="97" fillId="0" borderId="13" xfId="0" applyNumberFormat="1" applyFont="1" applyBorder="1" applyAlignment="1">
      <alignment horizontal="left" vertical="center" wrapText="1"/>
    </xf>
    <xf numFmtId="9" fontId="97" fillId="0" borderId="12" xfId="22" applyFont="1" applyFill="1" applyBorder="1" applyAlignment="1">
      <alignment horizontal="left" vertical="center" wrapText="1"/>
    </xf>
    <xf numFmtId="166" fontId="97" fillId="0" borderId="15" xfId="0" applyNumberFormat="1" applyFont="1" applyBorder="1" applyAlignment="1">
      <alignment horizontal="left" vertical="center" wrapText="1"/>
    </xf>
    <xf numFmtId="0" fontId="96" fillId="0" borderId="0" xfId="0" applyFont="1" applyAlignment="1">
      <alignment horizontal="left" vertical="center"/>
    </xf>
    <xf numFmtId="166" fontId="96" fillId="0" borderId="0" xfId="0" applyNumberFormat="1" applyFont="1" applyAlignment="1">
      <alignment horizontal="left" vertical="center"/>
    </xf>
    <xf numFmtId="0" fontId="83" fillId="0" borderId="0" xfId="0" applyFont="1" applyAlignment="1">
      <alignment horizontal="left" vertical="center"/>
    </xf>
    <xf numFmtId="0" fontId="48" fillId="5" borderId="0" xfId="0" applyFont="1" applyFill="1" applyAlignment="1">
      <alignment horizontal="left" vertical="center"/>
    </xf>
    <xf numFmtId="0" fontId="83" fillId="5" borderId="0" xfId="0" applyFont="1" applyFill="1" applyAlignment="1">
      <alignment horizontal="left" vertical="center"/>
    </xf>
    <xf numFmtId="0" fontId="48" fillId="13" borderId="0" xfId="0" applyFont="1" applyFill="1" applyAlignment="1">
      <alignment horizontal="left" vertical="center"/>
    </xf>
    <xf numFmtId="0" fontId="101" fillId="0" borderId="0" xfId="0" applyFont="1" applyAlignment="1">
      <alignment horizontal="left" vertical="center" wrapText="1"/>
    </xf>
    <xf numFmtId="0" fontId="91" fillId="0" borderId="0" xfId="0" applyFont="1" applyAlignment="1">
      <alignment horizontal="left" vertical="center" wrapText="1"/>
    </xf>
    <xf numFmtId="0" fontId="102" fillId="0" borderId="0" xfId="0" applyFont="1" applyAlignment="1">
      <alignment horizontal="left" vertical="center" wrapText="1"/>
    </xf>
    <xf numFmtId="0" fontId="103" fillId="0" borderId="0" xfId="0" applyFont="1" applyAlignment="1">
      <alignment horizontal="left" vertical="center" wrapText="1"/>
    </xf>
    <xf numFmtId="0" fontId="91" fillId="0" borderId="0" xfId="0" applyFont="1" applyAlignment="1">
      <alignment horizontal="left" vertical="center"/>
    </xf>
    <xf numFmtId="0" fontId="104" fillId="0" borderId="0" xfId="0" applyFont="1" applyAlignment="1">
      <alignment horizontal="left" vertical="center" wrapText="1"/>
    </xf>
    <xf numFmtId="0" fontId="101" fillId="23" borderId="12" xfId="0" applyFont="1" applyFill="1" applyBorder="1" applyAlignment="1">
      <alignment horizontal="left" vertical="center"/>
    </xf>
    <xf numFmtId="0" fontId="101" fillId="23" borderId="12" xfId="0" applyFont="1" applyFill="1" applyBorder="1" applyAlignment="1">
      <alignment horizontal="left" vertical="center" wrapText="1"/>
    </xf>
    <xf numFmtId="166" fontId="101" fillId="23" borderId="12" xfId="0" applyNumberFormat="1" applyFont="1" applyFill="1" applyBorder="1" applyAlignment="1">
      <alignment horizontal="left" vertical="center"/>
    </xf>
    <xf numFmtId="49" fontId="101" fillId="23" borderId="12" xfId="0" applyNumberFormat="1" applyFont="1" applyFill="1" applyBorder="1" applyAlignment="1">
      <alignment horizontal="left" vertical="center" wrapText="1"/>
    </xf>
    <xf numFmtId="166" fontId="101" fillId="0" borderId="18" xfId="0" applyNumberFormat="1" applyFont="1" applyBorder="1" applyAlignment="1">
      <alignment horizontal="left" vertical="center"/>
    </xf>
    <xf numFmtId="166" fontId="101" fillId="0" borderId="12" xfId="0" applyNumberFormat="1" applyFont="1" applyBorder="1" applyAlignment="1">
      <alignment horizontal="left" vertical="center"/>
    </xf>
    <xf numFmtId="166" fontId="101" fillId="0" borderId="13" xfId="0" applyNumberFormat="1" applyFont="1" applyBorder="1" applyAlignment="1">
      <alignment horizontal="left" vertical="center"/>
    </xf>
    <xf numFmtId="166" fontId="101" fillId="0" borderId="0" xfId="0" applyNumberFormat="1" applyFont="1" applyAlignment="1">
      <alignment horizontal="left" vertical="center"/>
    </xf>
    <xf numFmtId="166" fontId="101" fillId="14" borderId="12" xfId="0" applyNumberFormat="1" applyFont="1" applyFill="1" applyBorder="1" applyAlignment="1">
      <alignment horizontal="left" vertical="center"/>
    </xf>
    <xf numFmtId="0" fontId="91" fillId="0" borderId="6" xfId="0" applyFont="1" applyBorder="1" applyAlignment="1">
      <alignment horizontal="left" vertical="center"/>
    </xf>
    <xf numFmtId="0" fontId="101" fillId="14" borderId="6" xfId="0" applyFont="1" applyFill="1" applyBorder="1" applyAlignment="1">
      <alignment horizontal="left" vertical="center"/>
    </xf>
    <xf numFmtId="166" fontId="101" fillId="14" borderId="13" xfId="0" applyNumberFormat="1" applyFont="1" applyFill="1" applyBorder="1" applyAlignment="1">
      <alignment horizontal="left" vertical="center"/>
    </xf>
    <xf numFmtId="0" fontId="91" fillId="0" borderId="9" xfId="0" applyFont="1" applyBorder="1" applyAlignment="1">
      <alignment horizontal="left" vertical="center"/>
    </xf>
    <xf numFmtId="166" fontId="101" fillId="0" borderId="14" xfId="0" applyNumberFormat="1" applyFont="1" applyBorder="1" applyAlignment="1">
      <alignment horizontal="left" vertical="center"/>
    </xf>
    <xf numFmtId="166" fontId="101" fillId="0" borderId="29" xfId="0" applyNumberFormat="1" applyFont="1" applyBorder="1" applyAlignment="1">
      <alignment horizontal="left" vertical="center"/>
    </xf>
    <xf numFmtId="0" fontId="95" fillId="5" borderId="0" xfId="0" applyFont="1" applyFill="1" applyAlignment="1">
      <alignment horizontal="left" vertical="center"/>
    </xf>
    <xf numFmtId="0" fontId="91" fillId="25" borderId="12" xfId="0" applyFont="1" applyFill="1" applyBorder="1" applyAlignment="1">
      <alignment horizontal="left" vertical="center" textRotation="90" wrapText="1"/>
    </xf>
    <xf numFmtId="0" fontId="101" fillId="24" borderId="12" xfId="0" applyFont="1" applyFill="1" applyBorder="1" applyAlignment="1">
      <alignment horizontal="left" vertical="center"/>
    </xf>
    <xf numFmtId="166" fontId="101" fillId="24" borderId="12" xfId="0" applyNumberFormat="1" applyFont="1" applyFill="1" applyBorder="1" applyAlignment="1">
      <alignment horizontal="left" vertical="center"/>
    </xf>
    <xf numFmtId="49" fontId="91" fillId="24" borderId="12" xfId="0" applyNumberFormat="1" applyFont="1" applyFill="1" applyBorder="1" applyAlignment="1">
      <alignment horizontal="left" vertical="center" wrapText="1"/>
    </xf>
    <xf numFmtId="0" fontId="101" fillId="11" borderId="12" xfId="0" applyFont="1" applyFill="1" applyBorder="1" applyAlignment="1">
      <alignment horizontal="left" vertical="center" wrapText="1"/>
    </xf>
    <xf numFmtId="0" fontId="101" fillId="11" borderId="13" xfId="0" applyFont="1" applyFill="1" applyBorder="1" applyAlignment="1">
      <alignment horizontal="left" vertical="center" wrapText="1"/>
    </xf>
    <xf numFmtId="166" fontId="101" fillId="0" borderId="18" xfId="0" applyNumberFormat="1" applyFont="1" applyBorder="1" applyAlignment="1">
      <alignment horizontal="left" vertical="center" wrapText="1"/>
    </xf>
    <xf numFmtId="166" fontId="97" fillId="0" borderId="0" xfId="0" applyNumberFormat="1" applyFont="1" applyAlignment="1">
      <alignment horizontal="left" vertical="center" wrapText="1"/>
    </xf>
    <xf numFmtId="166" fontId="101" fillId="0" borderId="7" xfId="0" applyNumberFormat="1" applyFont="1" applyBorder="1" applyAlignment="1">
      <alignment horizontal="left" vertical="center"/>
    </xf>
    <xf numFmtId="166" fontId="101" fillId="0" borderId="12" xfId="0" applyNumberFormat="1" applyFont="1" applyBorder="1" applyAlignment="1">
      <alignment horizontal="left" vertical="center" wrapText="1"/>
    </xf>
    <xf numFmtId="9" fontId="101" fillId="0" borderId="18" xfId="22" applyFont="1" applyFill="1" applyBorder="1" applyAlignment="1">
      <alignment horizontal="left" vertical="center" wrapText="1"/>
    </xf>
    <xf numFmtId="0" fontId="101" fillId="0" borderId="0" xfId="0" applyFont="1" applyAlignment="1">
      <alignment horizontal="left" vertical="center"/>
    </xf>
    <xf numFmtId="166" fontId="91" fillId="0" borderId="0" xfId="0" applyNumberFormat="1" applyFont="1" applyAlignment="1">
      <alignment horizontal="left" vertical="center"/>
    </xf>
    <xf numFmtId="0" fontId="91" fillId="13" borderId="0" xfId="0" applyFont="1" applyFill="1" applyAlignment="1">
      <alignment horizontal="left" vertical="center"/>
    </xf>
    <xf numFmtId="0" fontId="87" fillId="0" borderId="0" xfId="0" applyFont="1" applyAlignment="1">
      <alignment horizontal="left" vertical="center" wrapText="1"/>
    </xf>
    <xf numFmtId="166" fontId="47" fillId="0" borderId="20" xfId="0" applyNumberFormat="1" applyFont="1" applyBorder="1" applyAlignment="1">
      <alignment horizontal="left" vertical="center"/>
    </xf>
    <xf numFmtId="0" fontId="48" fillId="0" borderId="0" xfId="0" applyFont="1" applyAlignment="1">
      <alignment horizontal="left" vertical="top" wrapText="1"/>
    </xf>
    <xf numFmtId="0" fontId="87" fillId="0" borderId="0" xfId="0" applyFont="1" applyAlignment="1">
      <alignment horizontal="left" vertical="top" wrapText="1"/>
    </xf>
    <xf numFmtId="0" fontId="48" fillId="0" borderId="0" xfId="0" applyFont="1" applyAlignment="1">
      <alignment horizontal="left"/>
    </xf>
    <xf numFmtId="49" fontId="91" fillId="0" borderId="20" xfId="0" applyNumberFormat="1" applyFont="1" applyBorder="1" applyAlignment="1">
      <alignment horizontal="left" vertical="center" wrapText="1"/>
    </xf>
    <xf numFmtId="0" fontId="47" fillId="12" borderId="29" xfId="0" applyFont="1" applyFill="1" applyBorder="1" applyAlignment="1">
      <alignment horizontal="left" vertical="center" wrapText="1"/>
    </xf>
    <xf numFmtId="49" fontId="96" fillId="0" borderId="0" xfId="0" applyNumberFormat="1" applyFont="1" applyAlignment="1">
      <alignment vertical="center"/>
    </xf>
    <xf numFmtId="0" fontId="48" fillId="24" borderId="20" xfId="0" applyFont="1" applyFill="1" applyBorder="1" applyAlignment="1">
      <alignment horizontal="left" vertical="center"/>
    </xf>
    <xf numFmtId="0" fontId="84" fillId="0" borderId="12" xfId="0" applyFont="1" applyBorder="1" applyAlignment="1">
      <alignment horizontal="left" vertical="center" wrapText="1"/>
    </xf>
    <xf numFmtId="0" fontId="42" fillId="0" borderId="18" xfId="0" applyFont="1" applyBorder="1" applyAlignment="1">
      <alignment horizontal="center" vertical="center" wrapText="1"/>
    </xf>
    <xf numFmtId="0" fontId="85" fillId="23" borderId="17" xfId="0" applyFont="1" applyFill="1" applyBorder="1" applyAlignment="1">
      <alignment horizontal="left" vertical="center" wrapText="1"/>
    </xf>
    <xf numFmtId="49" fontId="48" fillId="24" borderId="20" xfId="0" applyNumberFormat="1" applyFont="1" applyFill="1" applyBorder="1" applyAlignment="1">
      <alignment horizontal="left" vertical="center" wrapText="1"/>
    </xf>
    <xf numFmtId="0" fontId="47" fillId="23" borderId="17" xfId="0" applyFont="1" applyFill="1" applyBorder="1" applyAlignment="1">
      <alignment horizontal="left" vertical="center"/>
    </xf>
    <xf numFmtId="0" fontId="47" fillId="0" borderId="12" xfId="0" applyFont="1" applyBorder="1" applyAlignment="1">
      <alignment horizontal="center" vertical="center" wrapText="1"/>
    </xf>
    <xf numFmtId="166" fontId="101" fillId="23" borderId="13" xfId="0" applyNumberFormat="1" applyFont="1" applyFill="1" applyBorder="1" applyAlignment="1">
      <alignment horizontal="left" vertical="center"/>
    </xf>
    <xf numFmtId="0" fontId="38" fillId="0" borderId="0" xfId="0" applyFont="1" applyAlignment="1">
      <alignment vertical="top" wrapText="1"/>
    </xf>
    <xf numFmtId="0" fontId="38" fillId="0" borderId="0" xfId="0" applyFont="1" applyAlignment="1">
      <alignment horizontal="center" vertical="top" wrapText="1"/>
    </xf>
    <xf numFmtId="0" fontId="38" fillId="0" borderId="0" xfId="0" applyFont="1" applyAlignment="1">
      <alignment horizontal="center"/>
    </xf>
    <xf numFmtId="0" fontId="45" fillId="0" borderId="0" xfId="0" applyFont="1"/>
    <xf numFmtId="0" fontId="45" fillId="5" borderId="0" xfId="0" applyFont="1" applyFill="1"/>
    <xf numFmtId="49" fontId="47" fillId="20" borderId="12" xfId="0" applyNumberFormat="1" applyFont="1" applyFill="1" applyBorder="1" applyAlignment="1">
      <alignment horizontal="center" vertical="top" wrapText="1"/>
    </xf>
    <xf numFmtId="49" fontId="48" fillId="20" borderId="12" xfId="0" applyNumberFormat="1" applyFont="1" applyFill="1" applyBorder="1" applyAlignment="1">
      <alignment horizontal="center" vertical="top" wrapText="1"/>
    </xf>
    <xf numFmtId="49" fontId="48" fillId="24" borderId="12" xfId="0" applyNumberFormat="1" applyFont="1" applyFill="1" applyBorder="1" applyAlignment="1">
      <alignment horizontal="left" vertical="top" wrapText="1"/>
    </xf>
    <xf numFmtId="49" fontId="47" fillId="24" borderId="25" xfId="0" applyNumberFormat="1" applyFont="1" applyFill="1" applyBorder="1" applyAlignment="1">
      <alignment vertical="top" wrapText="1"/>
    </xf>
    <xf numFmtId="49" fontId="47" fillId="24" borderId="15" xfId="0" applyNumberFormat="1" applyFont="1" applyFill="1" applyBorder="1" applyAlignment="1">
      <alignment vertical="top" wrapText="1"/>
    </xf>
    <xf numFmtId="49" fontId="84" fillId="20" borderId="12" xfId="0" applyNumberFormat="1" applyFont="1" applyFill="1" applyBorder="1" applyAlignment="1">
      <alignment vertical="top" wrapText="1"/>
    </xf>
    <xf numFmtId="0" fontId="58" fillId="0" borderId="0" xfId="0" applyFont="1"/>
    <xf numFmtId="0" fontId="58" fillId="5" borderId="0" xfId="0" applyFont="1" applyFill="1"/>
    <xf numFmtId="9" fontId="47" fillId="0" borderId="29" xfId="22" applyFont="1" applyFill="1" applyBorder="1" applyAlignment="1">
      <alignment horizontal="center" vertical="center" wrapText="1"/>
    </xf>
    <xf numFmtId="166" fontId="47" fillId="24" borderId="25" xfId="0" applyNumberFormat="1" applyFont="1" applyFill="1" applyBorder="1" applyAlignment="1">
      <alignment horizontal="center" vertical="center"/>
    </xf>
    <xf numFmtId="9" fontId="47" fillId="0" borderId="12" xfId="22" applyFont="1" applyFill="1" applyBorder="1" applyAlignment="1">
      <alignment horizontal="center" vertical="center" wrapText="1"/>
    </xf>
    <xf numFmtId="166" fontId="47" fillId="23" borderId="18" xfId="0" applyNumberFormat="1" applyFont="1" applyFill="1" applyBorder="1" applyAlignment="1">
      <alignment horizontal="center" vertical="center"/>
    </xf>
    <xf numFmtId="49" fontId="83" fillId="20" borderId="18" xfId="0" applyNumberFormat="1" applyFont="1" applyFill="1" applyBorder="1" applyAlignment="1">
      <alignment vertical="top" wrapText="1"/>
    </xf>
    <xf numFmtId="49" fontId="84" fillId="20" borderId="18" xfId="0" applyNumberFormat="1" applyFont="1" applyFill="1" applyBorder="1" applyAlignment="1">
      <alignment horizontal="center" vertical="top" wrapText="1"/>
    </xf>
    <xf numFmtId="49" fontId="84" fillId="20" borderId="18" xfId="0" applyNumberFormat="1" applyFont="1" applyFill="1" applyBorder="1" applyAlignment="1">
      <alignment vertical="top" wrapText="1"/>
    </xf>
    <xf numFmtId="49" fontId="84" fillId="20" borderId="12" xfId="0" applyNumberFormat="1" applyFont="1" applyFill="1" applyBorder="1" applyAlignment="1">
      <alignment vertical="center" wrapText="1"/>
    </xf>
    <xf numFmtId="49" fontId="84" fillId="20" borderId="23" xfId="0" applyNumberFormat="1" applyFont="1" applyFill="1" applyBorder="1" applyAlignment="1">
      <alignment vertical="top" wrapText="1"/>
    </xf>
    <xf numFmtId="49" fontId="84" fillId="20" borderId="24" xfId="0" applyNumberFormat="1" applyFont="1" applyFill="1" applyBorder="1" applyAlignment="1">
      <alignment vertical="center" wrapText="1"/>
    </xf>
    <xf numFmtId="49" fontId="48" fillId="34" borderId="18" xfId="0" applyNumberFormat="1" applyFont="1" applyFill="1" applyBorder="1" applyAlignment="1">
      <alignment vertical="top" wrapText="1"/>
    </xf>
    <xf numFmtId="49" fontId="47" fillId="34" borderId="18" xfId="0" applyNumberFormat="1" applyFont="1" applyFill="1" applyBorder="1" applyAlignment="1">
      <alignment horizontal="center" vertical="top" wrapText="1"/>
    </xf>
    <xf numFmtId="49" fontId="47" fillId="34" borderId="18" xfId="0" applyNumberFormat="1" applyFont="1" applyFill="1" applyBorder="1" applyAlignment="1">
      <alignment vertical="top" wrapText="1"/>
    </xf>
    <xf numFmtId="49" fontId="47" fillId="34" borderId="12" xfId="0" applyNumberFormat="1" applyFont="1" applyFill="1" applyBorder="1" applyAlignment="1">
      <alignment vertical="center" wrapText="1"/>
    </xf>
    <xf numFmtId="49" fontId="47" fillId="34" borderId="12" xfId="0" applyNumberFormat="1" applyFont="1" applyFill="1" applyBorder="1" applyAlignment="1">
      <alignment vertical="top" wrapText="1"/>
    </xf>
    <xf numFmtId="166" fontId="96" fillId="24" borderId="12" xfId="0" applyNumberFormat="1" applyFont="1" applyFill="1" applyBorder="1" applyAlignment="1">
      <alignment horizontal="center" vertical="center"/>
    </xf>
    <xf numFmtId="166" fontId="49" fillId="24" borderId="25" xfId="0" applyNumberFormat="1" applyFont="1" applyFill="1" applyBorder="1" applyAlignment="1">
      <alignment horizontal="center" vertical="center"/>
    </xf>
    <xf numFmtId="166" fontId="49" fillId="24" borderId="12" xfId="0" applyNumberFormat="1" applyFont="1" applyFill="1" applyBorder="1" applyAlignment="1">
      <alignment horizontal="center" vertical="top"/>
    </xf>
    <xf numFmtId="166" fontId="105" fillId="5" borderId="12" xfId="0" applyNumberFormat="1" applyFont="1" applyFill="1" applyBorder="1" applyAlignment="1">
      <alignment horizontal="center" vertical="center"/>
    </xf>
    <xf numFmtId="166" fontId="105" fillId="5" borderId="18" xfId="0" applyNumberFormat="1" applyFont="1" applyFill="1" applyBorder="1" applyAlignment="1">
      <alignment horizontal="center" vertical="center" wrapText="1"/>
    </xf>
    <xf numFmtId="166" fontId="105" fillId="5" borderId="7" xfId="0" applyNumberFormat="1" applyFont="1" applyFill="1" applyBorder="1" applyAlignment="1">
      <alignment horizontal="center" vertical="center"/>
    </xf>
    <xf numFmtId="166" fontId="105" fillId="5" borderId="12" xfId="0" applyNumberFormat="1" applyFont="1" applyFill="1" applyBorder="1" applyAlignment="1">
      <alignment horizontal="center" vertical="center" wrapText="1"/>
    </xf>
    <xf numFmtId="9" fontId="105" fillId="5" borderId="18" xfId="22" applyFont="1" applyFill="1" applyBorder="1" applyAlignment="1">
      <alignment horizontal="center" vertical="center" wrapText="1"/>
    </xf>
    <xf numFmtId="9" fontId="105" fillId="5" borderId="12" xfId="22" applyFont="1" applyFill="1" applyBorder="1" applyAlignment="1">
      <alignment horizontal="center" vertical="top"/>
    </xf>
    <xf numFmtId="9" fontId="109" fillId="11" borderId="12" xfId="22" applyFont="1" applyFill="1" applyBorder="1" applyAlignment="1">
      <alignment horizontal="center" vertical="center"/>
    </xf>
    <xf numFmtId="0" fontId="109" fillId="11" borderId="12" xfId="0" applyFont="1" applyFill="1" applyBorder="1" applyAlignment="1">
      <alignment horizontal="center" vertical="center" wrapText="1"/>
    </xf>
    <xf numFmtId="49" fontId="48" fillId="35" borderId="12" xfId="0" applyNumberFormat="1" applyFont="1" applyFill="1" applyBorder="1" applyAlignment="1">
      <alignment horizontal="center" vertical="top" wrapText="1"/>
    </xf>
    <xf numFmtId="0" fontId="96" fillId="25" borderId="7" xfId="0" applyFont="1" applyFill="1" applyBorder="1" applyAlignment="1">
      <alignment vertical="top" wrapText="1"/>
    </xf>
    <xf numFmtId="0" fontId="47" fillId="24" borderId="21" xfId="0" applyFont="1" applyFill="1" applyBorder="1" applyAlignment="1">
      <alignment horizontal="center" vertical="top"/>
    </xf>
    <xf numFmtId="166" fontId="96" fillId="24" borderId="12" xfId="0" applyNumberFormat="1" applyFont="1" applyFill="1" applyBorder="1" applyAlignment="1">
      <alignment horizontal="center" vertical="top"/>
    </xf>
    <xf numFmtId="49" fontId="96" fillId="24" borderId="29" xfId="0" applyNumberFormat="1" applyFont="1" applyFill="1" applyBorder="1" applyAlignment="1">
      <alignment horizontal="center" vertical="center" wrapText="1"/>
    </xf>
    <xf numFmtId="49" fontId="96" fillId="24" borderId="25" xfId="0" applyNumberFormat="1" applyFont="1" applyFill="1" applyBorder="1" applyAlignment="1">
      <alignment horizontal="center" vertical="center" wrapText="1"/>
    </xf>
    <xf numFmtId="49" fontId="48" fillId="19" borderId="38" xfId="0" applyNumberFormat="1" applyFont="1" applyFill="1" applyBorder="1" applyAlignment="1">
      <alignment horizontal="center" vertical="center" wrapText="1"/>
    </xf>
    <xf numFmtId="49" fontId="48" fillId="19" borderId="36" xfId="0" applyNumberFormat="1" applyFont="1" applyFill="1" applyBorder="1" applyAlignment="1">
      <alignment horizontal="center" vertical="center" wrapText="1"/>
    </xf>
    <xf numFmtId="166" fontId="109" fillId="0" borderId="12" xfId="0" applyNumberFormat="1" applyFont="1" applyBorder="1" applyAlignment="1">
      <alignment horizontal="center" vertical="center"/>
    </xf>
    <xf numFmtId="166" fontId="84" fillId="0" borderId="13" xfId="0" applyNumberFormat="1" applyFont="1" applyBorder="1" applyAlignment="1">
      <alignment horizontal="center" vertical="center"/>
    </xf>
    <xf numFmtId="9" fontId="47" fillId="14" borderId="17" xfId="22" applyFont="1" applyFill="1" applyBorder="1" applyAlignment="1">
      <alignment horizontal="left" vertical="center"/>
    </xf>
    <xf numFmtId="166" fontId="84" fillId="14" borderId="18" xfId="0" applyNumberFormat="1" applyFont="1" applyFill="1" applyBorder="1" applyAlignment="1">
      <alignment horizontal="left" vertical="center"/>
    </xf>
    <xf numFmtId="0" fontId="45" fillId="0" borderId="0" xfId="0" applyFont="1" applyAlignment="1">
      <alignment horizontal="left" vertical="center"/>
    </xf>
    <xf numFmtId="9" fontId="47" fillId="0" borderId="18" xfId="22" applyFont="1" applyBorder="1" applyAlignment="1">
      <alignment horizontal="left" vertical="center"/>
    </xf>
    <xf numFmtId="9" fontId="47" fillId="0" borderId="12" xfId="22" applyFont="1" applyBorder="1" applyAlignment="1">
      <alignment horizontal="left" vertical="center"/>
    </xf>
    <xf numFmtId="9" fontId="47" fillId="23" borderId="12" xfId="22" applyFont="1" applyFill="1" applyBorder="1" applyAlignment="1">
      <alignment horizontal="left" vertical="center"/>
    </xf>
    <xf numFmtId="0" fontId="96" fillId="25" borderId="12" xfId="0" applyFont="1" applyFill="1" applyBorder="1" applyAlignment="1">
      <alignment horizontal="left" vertical="center" wrapText="1"/>
    </xf>
    <xf numFmtId="166" fontId="96" fillId="24" borderId="12" xfId="0" applyNumberFormat="1" applyFont="1" applyFill="1" applyBorder="1" applyAlignment="1">
      <alignment horizontal="left" vertical="center"/>
    </xf>
    <xf numFmtId="166" fontId="49" fillId="24" borderId="12" xfId="0" applyNumberFormat="1" applyFont="1" applyFill="1" applyBorder="1" applyAlignment="1">
      <alignment horizontal="left" vertical="center"/>
    </xf>
    <xf numFmtId="166" fontId="100" fillId="24" borderId="12" xfId="0" applyNumberFormat="1" applyFont="1" applyFill="1" applyBorder="1" applyAlignment="1">
      <alignment horizontal="left" vertical="center"/>
    </xf>
    <xf numFmtId="166" fontId="84" fillId="0" borderId="20" xfId="0" applyNumberFormat="1" applyFont="1" applyBorder="1" applyAlignment="1">
      <alignment horizontal="left" vertical="center"/>
    </xf>
    <xf numFmtId="0" fontId="47" fillId="23" borderId="25" xfId="0" applyFont="1" applyFill="1" applyBorder="1" applyAlignment="1">
      <alignment horizontal="left" vertical="center" wrapText="1"/>
    </xf>
    <xf numFmtId="166" fontId="47" fillId="23" borderId="18" xfId="0" applyNumberFormat="1" applyFont="1" applyFill="1" applyBorder="1" applyAlignment="1">
      <alignment horizontal="left" vertical="center"/>
    </xf>
    <xf numFmtId="9" fontId="47" fillId="23" borderId="18" xfId="22" applyFont="1" applyFill="1" applyBorder="1" applyAlignment="1">
      <alignment horizontal="left" vertical="center" wrapText="1"/>
    </xf>
    <xf numFmtId="166" fontId="47" fillId="0" borderId="10" xfId="0" applyNumberFormat="1" applyFont="1" applyBorder="1" applyAlignment="1">
      <alignment horizontal="left" vertical="center"/>
    </xf>
    <xf numFmtId="0" fontId="48" fillId="0" borderId="18" xfId="0" applyFont="1" applyBorder="1" applyAlignment="1">
      <alignment horizontal="left" vertical="center"/>
    </xf>
    <xf numFmtId="0" fontId="51" fillId="0" borderId="0" xfId="0" applyFont="1" applyAlignment="1">
      <alignment horizontal="left" vertical="center"/>
    </xf>
    <xf numFmtId="0" fontId="84" fillId="12" borderId="29" xfId="0" applyFont="1" applyFill="1" applyBorder="1" applyAlignment="1">
      <alignment horizontal="left" vertical="center" wrapText="1"/>
    </xf>
    <xf numFmtId="0" fontId="63" fillId="0" borderId="0" xfId="0" applyFont="1" applyAlignment="1">
      <alignment horizontal="left" vertical="center"/>
    </xf>
    <xf numFmtId="166" fontId="63" fillId="0" borderId="0" xfId="0" applyNumberFormat="1" applyFont="1" applyAlignment="1">
      <alignment horizontal="left" vertical="center"/>
    </xf>
    <xf numFmtId="9" fontId="47" fillId="14" borderId="12" xfId="22" applyFont="1" applyFill="1" applyBorder="1" applyAlignment="1">
      <alignment horizontal="left" vertical="center"/>
    </xf>
    <xf numFmtId="166" fontId="47" fillId="14" borderId="15" xfId="0" applyNumberFormat="1" applyFont="1" applyFill="1" applyBorder="1" applyAlignment="1">
      <alignment horizontal="left" vertical="center"/>
    </xf>
    <xf numFmtId="0" fontId="60" fillId="24" borderId="0" xfId="0" applyFont="1" applyFill="1" applyAlignment="1">
      <alignment horizontal="left" vertical="center"/>
    </xf>
    <xf numFmtId="166" fontId="48" fillId="24" borderId="12" xfId="0" applyNumberFormat="1" applyFont="1" applyFill="1" applyBorder="1" applyAlignment="1">
      <alignment horizontal="left" vertical="center" wrapText="1"/>
    </xf>
    <xf numFmtId="49" fontId="49" fillId="24" borderId="12" xfId="0" applyNumberFormat="1" applyFont="1" applyFill="1" applyBorder="1" applyAlignment="1">
      <alignment horizontal="left" vertical="center"/>
    </xf>
    <xf numFmtId="166" fontId="49" fillId="24" borderId="12" xfId="0" applyNumberFormat="1" applyFont="1" applyFill="1" applyBorder="1" applyAlignment="1" applyProtection="1">
      <alignment horizontal="left" vertical="center"/>
      <protection locked="0"/>
    </xf>
    <xf numFmtId="9" fontId="49" fillId="24" borderId="12" xfId="22" applyFont="1" applyFill="1" applyBorder="1" applyAlignment="1">
      <alignment horizontal="left" vertical="center" wrapText="1"/>
    </xf>
    <xf numFmtId="166" fontId="96" fillId="24" borderId="12" xfId="0" applyNumberFormat="1" applyFont="1" applyFill="1" applyBorder="1" applyAlignment="1">
      <alignment vertical="center"/>
    </xf>
    <xf numFmtId="166" fontId="98" fillId="24" borderId="12" xfId="0" applyNumberFormat="1" applyFont="1" applyFill="1" applyBorder="1" applyAlignment="1">
      <alignment horizontal="left" vertical="center"/>
    </xf>
    <xf numFmtId="49" fontId="98" fillId="24" borderId="12" xfId="0" applyNumberFormat="1" applyFont="1" applyFill="1" applyBorder="1" applyAlignment="1">
      <alignment horizontal="left" vertical="center"/>
    </xf>
    <xf numFmtId="9" fontId="98" fillId="24" borderId="12" xfId="22" applyFont="1" applyFill="1" applyBorder="1" applyAlignment="1">
      <alignment horizontal="left" vertical="center" wrapText="1"/>
    </xf>
    <xf numFmtId="166" fontId="98" fillId="24" borderId="12" xfId="0" applyNumberFormat="1" applyFont="1" applyFill="1" applyBorder="1" applyAlignment="1" applyProtection="1">
      <alignment horizontal="left" vertical="center"/>
      <protection locked="0"/>
    </xf>
    <xf numFmtId="0" fontId="96" fillId="24" borderId="12" xfId="0" applyFont="1" applyFill="1" applyBorder="1" applyAlignment="1">
      <alignment horizontal="left" vertical="center" wrapText="1"/>
    </xf>
    <xf numFmtId="0" fontId="96" fillId="24" borderId="12" xfId="0" applyFont="1" applyFill="1" applyBorder="1" applyAlignment="1">
      <alignment horizontal="left" vertical="center"/>
    </xf>
    <xf numFmtId="0" fontId="49" fillId="24" borderId="12" xfId="0" applyFont="1" applyFill="1" applyBorder="1" applyAlignment="1">
      <alignment horizontal="left" vertical="center" wrapText="1"/>
    </xf>
    <xf numFmtId="0" fontId="49" fillId="24" borderId="12" xfId="0" applyFont="1" applyFill="1" applyBorder="1" applyAlignment="1">
      <alignment horizontal="left" vertical="center" textRotation="90" wrapText="1"/>
    </xf>
    <xf numFmtId="49" fontId="49" fillId="24" borderId="9" xfId="0" applyNumberFormat="1" applyFont="1" applyFill="1" applyBorder="1" applyAlignment="1">
      <alignment horizontal="left" vertical="center"/>
    </xf>
    <xf numFmtId="0" fontId="96" fillId="24" borderId="9" xfId="0" applyFont="1" applyFill="1" applyBorder="1" applyAlignment="1">
      <alignment horizontal="left" vertical="center" textRotation="90" wrapText="1"/>
    </xf>
    <xf numFmtId="0" fontId="96" fillId="25" borderId="0" xfId="0" applyFont="1" applyFill="1" applyAlignment="1">
      <alignment horizontal="left" vertical="center" wrapText="1"/>
    </xf>
    <xf numFmtId="166" fontId="96" fillId="24" borderId="13" xfId="0" applyNumberFormat="1" applyFont="1" applyFill="1" applyBorder="1" applyAlignment="1">
      <alignment horizontal="left" vertical="center"/>
    </xf>
    <xf numFmtId="166" fontId="48" fillId="35" borderId="12" xfId="0" applyNumberFormat="1" applyFont="1" applyFill="1" applyBorder="1" applyAlignment="1">
      <alignment horizontal="left" vertical="center"/>
    </xf>
    <xf numFmtId="49" fontId="48" fillId="35" borderId="12" xfId="0" applyNumberFormat="1" applyFont="1" applyFill="1" applyBorder="1" applyAlignment="1">
      <alignment horizontal="left" vertical="center" wrapText="1"/>
    </xf>
    <xf numFmtId="49" fontId="47" fillId="24" borderId="14" xfId="0" applyNumberFormat="1" applyFont="1" applyFill="1" applyBorder="1" applyAlignment="1">
      <alignment horizontal="left" vertical="center"/>
    </xf>
    <xf numFmtId="166" fontId="83" fillId="35" borderId="12" xfId="0" applyNumberFormat="1" applyFont="1" applyFill="1" applyBorder="1" applyAlignment="1">
      <alignment horizontal="left" vertical="center"/>
    </xf>
    <xf numFmtId="9" fontId="47" fillId="35" borderId="12" xfId="22" applyFont="1" applyFill="1" applyBorder="1" applyAlignment="1">
      <alignment horizontal="left" vertical="center" wrapText="1"/>
    </xf>
    <xf numFmtId="166" fontId="48" fillId="35" borderId="13" xfId="0" applyNumberFormat="1" applyFont="1" applyFill="1" applyBorder="1" applyAlignment="1">
      <alignment horizontal="left" vertical="center"/>
    </xf>
    <xf numFmtId="0" fontId="100" fillId="24" borderId="9" xfId="0" applyFont="1" applyFill="1" applyBorder="1" applyAlignment="1">
      <alignment horizontal="left" vertical="center" textRotation="90" wrapText="1"/>
    </xf>
    <xf numFmtId="9" fontId="96" fillId="24" borderId="12" xfId="22" applyFont="1" applyFill="1" applyBorder="1" applyAlignment="1">
      <alignment horizontal="left" vertical="center" wrapText="1"/>
    </xf>
    <xf numFmtId="166" fontId="96" fillId="24" borderId="12" xfId="0" applyNumberFormat="1" applyFont="1" applyFill="1" applyBorder="1" applyAlignment="1">
      <alignment horizontal="left" vertical="center" wrapText="1"/>
    </xf>
    <xf numFmtId="49" fontId="48" fillId="24" borderId="6" xfId="0" applyNumberFormat="1" applyFont="1" applyFill="1" applyBorder="1" applyAlignment="1">
      <alignment horizontal="left" vertical="center"/>
    </xf>
    <xf numFmtId="0" fontId="100" fillId="0" borderId="0" xfId="0" applyFont="1" applyAlignment="1">
      <alignment horizontal="left" vertical="center" wrapText="1"/>
    </xf>
    <xf numFmtId="166" fontId="83" fillId="0" borderId="0" xfId="0" applyNumberFormat="1" applyFont="1" applyAlignment="1">
      <alignment horizontal="left" vertical="center"/>
    </xf>
    <xf numFmtId="49" fontId="48" fillId="0" borderId="25" xfId="0" applyNumberFormat="1" applyFont="1" applyBorder="1" applyAlignment="1">
      <alignment horizontal="center" vertical="center" wrapText="1"/>
    </xf>
    <xf numFmtId="0" fontId="84" fillId="5" borderId="12" xfId="0" applyFont="1" applyFill="1" applyBorder="1" applyAlignment="1">
      <alignment horizontal="center" vertical="center" wrapText="1"/>
    </xf>
    <xf numFmtId="166" fontId="96" fillId="24" borderId="29" xfId="0" applyNumberFormat="1" applyFont="1" applyFill="1" applyBorder="1" applyAlignment="1">
      <alignment horizontal="left" vertical="center"/>
    </xf>
    <xf numFmtId="49" fontId="101" fillId="24" borderId="12" xfId="0" applyNumberFormat="1" applyFont="1" applyFill="1" applyBorder="1" applyAlignment="1">
      <alignment horizontal="left" vertical="center"/>
    </xf>
    <xf numFmtId="49" fontId="101" fillId="24" borderId="12" xfId="0" applyNumberFormat="1" applyFont="1" applyFill="1" applyBorder="1" applyAlignment="1">
      <alignment horizontal="left" vertical="center" wrapText="1"/>
    </xf>
    <xf numFmtId="166" fontId="96" fillId="24" borderId="17" xfId="0" applyNumberFormat="1" applyFont="1" applyFill="1" applyBorder="1" applyAlignment="1">
      <alignment horizontal="left" vertical="center"/>
    </xf>
    <xf numFmtId="166" fontId="100" fillId="24" borderId="17" xfId="0" applyNumberFormat="1" applyFont="1" applyFill="1" applyBorder="1" applyAlignment="1">
      <alignment horizontal="left" vertical="center"/>
    </xf>
    <xf numFmtId="166" fontId="96" fillId="24" borderId="23" xfId="0" applyNumberFormat="1" applyFont="1" applyFill="1" applyBorder="1" applyAlignment="1">
      <alignment horizontal="left" vertical="center"/>
    </xf>
    <xf numFmtId="166" fontId="49" fillId="24" borderId="13" xfId="0" applyNumberFormat="1" applyFont="1" applyFill="1" applyBorder="1" applyAlignment="1">
      <alignment horizontal="left" vertical="center"/>
    </xf>
    <xf numFmtId="0" fontId="47" fillId="0" borderId="28" xfId="0" applyFont="1" applyBorder="1" applyAlignment="1">
      <alignment horizontal="left" vertical="center" wrapText="1"/>
    </xf>
    <xf numFmtId="166" fontId="45" fillId="0" borderId="0" xfId="0" applyNumberFormat="1" applyFont="1"/>
    <xf numFmtId="0" fontId="78" fillId="0" borderId="0" xfId="0" applyFont="1" applyAlignment="1">
      <alignment vertical="top" wrapText="1"/>
    </xf>
    <xf numFmtId="0" fontId="83" fillId="0" borderId="0" xfId="0" applyFont="1"/>
    <xf numFmtId="0" fontId="78" fillId="0" borderId="0" xfId="0" applyFont="1" applyAlignment="1">
      <alignment horizontal="left" vertical="top" wrapText="1"/>
    </xf>
    <xf numFmtId="0" fontId="84" fillId="11" borderId="12" xfId="0" applyFont="1" applyFill="1" applyBorder="1" applyAlignment="1">
      <alignment horizontal="center" vertical="center" wrapText="1"/>
    </xf>
    <xf numFmtId="0" fontId="98" fillId="0" borderId="0" xfId="0" applyFont="1" applyAlignment="1">
      <alignment vertical="center"/>
    </xf>
    <xf numFmtId="166" fontId="51" fillId="0" borderId="0" xfId="0" applyNumberFormat="1" applyFont="1"/>
    <xf numFmtId="0" fontId="78" fillId="0" borderId="0" xfId="0" applyFont="1"/>
    <xf numFmtId="0" fontId="84" fillId="12" borderId="13" xfId="0" applyFont="1" applyFill="1" applyBorder="1" applyAlignment="1">
      <alignment horizontal="center" vertical="center" wrapText="1"/>
    </xf>
    <xf numFmtId="0" fontId="47" fillId="23" borderId="15" xfId="0" applyFont="1" applyFill="1" applyBorder="1" applyAlignment="1">
      <alignment horizontal="center" vertical="center"/>
    </xf>
    <xf numFmtId="166" fontId="47" fillId="0" borderId="29" xfId="0" applyNumberFormat="1" applyFont="1" applyBorder="1" applyAlignment="1">
      <alignment vertical="center" wrapText="1"/>
    </xf>
    <xf numFmtId="166" fontId="92" fillId="0" borderId="8" xfId="0" applyNumberFormat="1" applyFont="1" applyBorder="1" applyAlignment="1">
      <alignment vertical="center"/>
    </xf>
    <xf numFmtId="9" fontId="47" fillId="0" borderId="29" xfId="22" applyFont="1" applyBorder="1" applyAlignment="1">
      <alignment vertical="center" wrapText="1"/>
    </xf>
    <xf numFmtId="0" fontId="112" fillId="0" borderId="0" xfId="0" applyFont="1" applyAlignment="1">
      <alignment horizontal="center" vertical="top" wrapText="1"/>
    </xf>
    <xf numFmtId="0" fontId="112" fillId="0" borderId="0" xfId="0" applyFont="1"/>
    <xf numFmtId="0" fontId="97" fillId="11" borderId="12" xfId="0" applyFont="1" applyFill="1" applyBorder="1" applyAlignment="1">
      <alignment horizontal="center" vertical="center" wrapText="1"/>
    </xf>
    <xf numFmtId="0" fontId="95" fillId="0" borderId="0" xfId="0" applyFont="1" applyAlignment="1">
      <alignment vertical="center"/>
    </xf>
    <xf numFmtId="0" fontId="57" fillId="0" borderId="0" xfId="0" applyFont="1"/>
    <xf numFmtId="0" fontId="105" fillId="0" borderId="0" xfId="0" applyFont="1" applyAlignment="1">
      <alignment vertical="center"/>
    </xf>
    <xf numFmtId="166" fontId="112" fillId="0" borderId="0" xfId="0" applyNumberFormat="1" applyFont="1"/>
    <xf numFmtId="0" fontId="96" fillId="24" borderId="12" xfId="0" applyFont="1" applyFill="1" applyBorder="1" applyAlignment="1">
      <alignment vertical="center"/>
    </xf>
    <xf numFmtId="166" fontId="98" fillId="24" borderId="12" xfId="0" applyNumberFormat="1" applyFont="1" applyFill="1" applyBorder="1" applyAlignment="1">
      <alignment vertical="center"/>
    </xf>
    <xf numFmtId="166" fontId="49" fillId="24" borderId="12" xfId="0" applyNumberFormat="1" applyFont="1" applyFill="1" applyBorder="1" applyAlignment="1">
      <alignment vertical="center"/>
    </xf>
    <xf numFmtId="166" fontId="49" fillId="24" borderId="12" xfId="0" applyNumberFormat="1" applyFont="1" applyFill="1" applyBorder="1" applyAlignment="1">
      <alignment horizontal="center" vertical="center"/>
    </xf>
    <xf numFmtId="0" fontId="49" fillId="24" borderId="12" xfId="0" applyFont="1" applyFill="1" applyBorder="1" applyAlignment="1">
      <alignment vertical="center"/>
    </xf>
    <xf numFmtId="166" fontId="49" fillId="38" borderId="12" xfId="0" applyNumberFormat="1" applyFont="1" applyFill="1" applyBorder="1" applyAlignment="1">
      <alignment horizontal="center" vertical="center"/>
    </xf>
    <xf numFmtId="166" fontId="49" fillId="38" borderId="15" xfId="0" applyNumberFormat="1" applyFont="1" applyFill="1" applyBorder="1" applyAlignment="1">
      <alignment horizontal="center" vertical="center"/>
    </xf>
    <xf numFmtId="166" fontId="49" fillId="20" borderId="12" xfId="0" applyNumberFormat="1" applyFont="1" applyFill="1" applyBorder="1" applyAlignment="1">
      <alignment horizontal="center" vertical="center"/>
    </xf>
    <xf numFmtId="166" fontId="47" fillId="0" borderId="30" xfId="0" applyNumberFormat="1" applyFont="1" applyBorder="1" applyAlignment="1">
      <alignment horizontal="center" vertical="center"/>
    </xf>
    <xf numFmtId="9" fontId="98" fillId="24" borderId="12" xfId="22" applyFont="1" applyFill="1" applyBorder="1" applyAlignment="1">
      <alignment horizontal="center" vertical="top"/>
    </xf>
    <xf numFmtId="0" fontId="113" fillId="0" borderId="0" xfId="0" applyFont="1" applyAlignment="1">
      <alignment horizontal="left" vertical="top" wrapText="1"/>
    </xf>
    <xf numFmtId="0" fontId="45" fillId="0" borderId="0" xfId="0" applyFont="1" applyAlignment="1">
      <alignment horizontal="left"/>
    </xf>
    <xf numFmtId="0" fontId="40" fillId="0" borderId="0" xfId="0" applyFont="1" applyAlignment="1">
      <alignment horizontal="left" vertical="top" wrapText="1"/>
    </xf>
    <xf numFmtId="0" fontId="106" fillId="0" borderId="0" xfId="0" applyFont="1"/>
    <xf numFmtId="9" fontId="47" fillId="5" borderId="12" xfId="22" applyFont="1" applyFill="1" applyBorder="1" applyAlignment="1">
      <alignment horizontal="center" vertical="top"/>
    </xf>
    <xf numFmtId="9" fontId="47" fillId="0" borderId="12" xfId="22" applyFont="1" applyFill="1" applyBorder="1" applyAlignment="1">
      <alignment horizontal="center" vertical="top"/>
    </xf>
    <xf numFmtId="0" fontId="51" fillId="0" borderId="0" xfId="0" applyFont="1" applyAlignment="1">
      <alignment horizontal="left" vertical="top" wrapText="1"/>
    </xf>
    <xf numFmtId="49" fontId="100" fillId="0" borderId="0" xfId="0" applyNumberFormat="1" applyFont="1" applyAlignment="1">
      <alignment vertical="center"/>
    </xf>
    <xf numFmtId="0" fontId="100" fillId="0" borderId="0" xfId="0" applyFont="1" applyAlignment="1">
      <alignment horizontal="left" vertical="center"/>
    </xf>
    <xf numFmtId="9" fontId="84" fillId="0" borderId="12" xfId="22" applyFont="1" applyBorder="1" applyAlignment="1">
      <alignment horizontal="left" vertical="center" wrapText="1"/>
    </xf>
    <xf numFmtId="49" fontId="96" fillId="24" borderId="18" xfId="0" applyNumberFormat="1" applyFont="1" applyFill="1" applyBorder="1" applyAlignment="1">
      <alignment horizontal="left" vertical="center"/>
    </xf>
    <xf numFmtId="166" fontId="98" fillId="24" borderId="18" xfId="0" applyNumberFormat="1" applyFont="1" applyFill="1" applyBorder="1" applyAlignment="1">
      <alignment horizontal="left" vertical="center"/>
    </xf>
    <xf numFmtId="0" fontId="49" fillId="24" borderId="12" xfId="0" applyFont="1" applyFill="1" applyBorder="1" applyAlignment="1">
      <alignment horizontal="left" vertical="center"/>
    </xf>
    <xf numFmtId="49" fontId="96" fillId="18" borderId="18" xfId="0" applyNumberFormat="1" applyFont="1" applyFill="1" applyBorder="1" applyAlignment="1">
      <alignment horizontal="left" vertical="center"/>
    </xf>
    <xf numFmtId="166" fontId="98" fillId="18" borderId="18" xfId="0" applyNumberFormat="1" applyFont="1" applyFill="1" applyBorder="1" applyAlignment="1">
      <alignment horizontal="left" vertical="center"/>
    </xf>
    <xf numFmtId="166" fontId="49" fillId="18" borderId="12" xfId="0" applyNumberFormat="1" applyFont="1" applyFill="1" applyBorder="1" applyAlignment="1">
      <alignment horizontal="left" vertical="center"/>
    </xf>
    <xf numFmtId="166" fontId="98" fillId="18" borderId="12" xfId="0" applyNumberFormat="1" applyFont="1" applyFill="1" applyBorder="1" applyAlignment="1">
      <alignment horizontal="left" vertical="center"/>
    </xf>
    <xf numFmtId="49" fontId="96" fillId="44" borderId="18" xfId="0" applyNumberFormat="1" applyFont="1" applyFill="1" applyBorder="1" applyAlignment="1">
      <alignment horizontal="left" vertical="center" textRotation="90"/>
    </xf>
    <xf numFmtId="166" fontId="98" fillId="44" borderId="18" xfId="0" applyNumberFormat="1" applyFont="1" applyFill="1" applyBorder="1" applyAlignment="1">
      <alignment horizontal="left" vertical="center"/>
    </xf>
    <xf numFmtId="166" fontId="49" fillId="44" borderId="12" xfId="0" applyNumberFormat="1" applyFont="1" applyFill="1" applyBorder="1" applyAlignment="1">
      <alignment horizontal="left" vertical="center"/>
    </xf>
    <xf numFmtId="0" fontId="48" fillId="44" borderId="0" xfId="0" applyFont="1" applyFill="1" applyAlignment="1">
      <alignment horizontal="left" vertical="center"/>
    </xf>
    <xf numFmtId="0" fontId="49" fillId="44" borderId="18" xfId="0" applyFont="1" applyFill="1" applyBorder="1" applyAlignment="1">
      <alignment horizontal="left" vertical="center"/>
    </xf>
    <xf numFmtId="166" fontId="83" fillId="0" borderId="12" xfId="0" applyNumberFormat="1" applyFont="1" applyBorder="1" applyAlignment="1">
      <alignment horizontal="left" vertical="center"/>
    </xf>
    <xf numFmtId="166" fontId="84" fillId="0" borderId="29" xfId="0" applyNumberFormat="1" applyFont="1" applyBorder="1" applyAlignment="1">
      <alignment horizontal="center" vertical="center" wrapText="1"/>
    </xf>
    <xf numFmtId="166" fontId="84" fillId="0" borderId="8" xfId="0" applyNumberFormat="1" applyFont="1" applyBorder="1" applyAlignment="1">
      <alignment horizontal="center" vertical="center"/>
    </xf>
    <xf numFmtId="166" fontId="96" fillId="24" borderId="18" xfId="0" applyNumberFormat="1" applyFont="1" applyFill="1" applyBorder="1" applyAlignment="1">
      <alignment horizontal="left" vertical="center"/>
    </xf>
    <xf numFmtId="166" fontId="49" fillId="24" borderId="18" xfId="0" applyNumberFormat="1" applyFont="1" applyFill="1" applyBorder="1" applyAlignment="1">
      <alignment horizontal="left" vertical="center"/>
    </xf>
    <xf numFmtId="49" fontId="84" fillId="23" borderId="12" xfId="0" applyNumberFormat="1" applyFont="1" applyFill="1" applyBorder="1" applyAlignment="1">
      <alignment horizontal="left" vertical="center" wrapText="1"/>
    </xf>
    <xf numFmtId="0" fontId="48" fillId="0" borderId="0" xfId="0" applyFont="1" applyAlignment="1">
      <alignment horizontal="left" vertical="top"/>
    </xf>
    <xf numFmtId="166" fontId="62" fillId="0" borderId="0" xfId="0" applyNumberFormat="1" applyFont="1" applyAlignment="1">
      <alignment horizontal="left" vertical="center"/>
    </xf>
    <xf numFmtId="166" fontId="99" fillId="0" borderId="0" xfId="0" applyNumberFormat="1" applyFont="1" applyAlignment="1">
      <alignment horizontal="left" vertical="center"/>
    </xf>
    <xf numFmtId="9" fontId="47" fillId="14" borderId="12" xfId="22" applyFont="1" applyFill="1" applyBorder="1" applyAlignment="1">
      <alignment horizontal="center" vertical="center" wrapText="1"/>
    </xf>
    <xf numFmtId="0" fontId="40" fillId="0" borderId="0" xfId="0" applyFont="1" applyAlignment="1">
      <alignment horizontal="left" vertical="center" wrapText="1"/>
    </xf>
    <xf numFmtId="166" fontId="45" fillId="0" borderId="0" xfId="0" applyNumberFormat="1" applyFont="1" applyAlignment="1">
      <alignment horizontal="left" vertical="center"/>
    </xf>
    <xf numFmtId="0" fontId="107" fillId="0" borderId="0" xfId="0" applyFont="1" applyAlignment="1">
      <alignment horizontal="left" vertical="center"/>
    </xf>
    <xf numFmtId="0" fontId="96" fillId="24" borderId="12" xfId="0" applyFont="1" applyFill="1" applyBorder="1" applyAlignment="1">
      <alignment horizontal="left" vertical="center" textRotation="90" wrapText="1"/>
    </xf>
    <xf numFmtId="49" fontId="48" fillId="0" borderId="29" xfId="0" applyNumberFormat="1" applyFont="1" applyBorder="1" applyAlignment="1">
      <alignment horizontal="left" vertical="center" wrapText="1"/>
    </xf>
    <xf numFmtId="9" fontId="47" fillId="14" borderId="18" xfId="22" applyFont="1" applyFill="1" applyBorder="1" applyAlignment="1">
      <alignment horizontal="center" vertical="center" wrapText="1"/>
    </xf>
    <xf numFmtId="9" fontId="84" fillId="14" borderId="18" xfId="22" applyFont="1" applyFill="1" applyBorder="1" applyAlignment="1">
      <alignment horizontal="center" vertical="center" wrapText="1"/>
    </xf>
    <xf numFmtId="9" fontId="47" fillId="14" borderId="29" xfId="22" applyFont="1" applyFill="1" applyBorder="1" applyAlignment="1">
      <alignment horizontal="center" vertical="center" wrapText="1"/>
    </xf>
    <xf numFmtId="166" fontId="117" fillId="24" borderId="12" xfId="0" applyNumberFormat="1" applyFont="1" applyFill="1" applyBorder="1" applyAlignment="1">
      <alignment horizontal="left" vertical="center"/>
    </xf>
    <xf numFmtId="166" fontId="117" fillId="24" borderId="13" xfId="0" applyNumberFormat="1" applyFont="1" applyFill="1" applyBorder="1" applyAlignment="1">
      <alignment horizontal="left" vertical="center"/>
    </xf>
    <xf numFmtId="166" fontId="117" fillId="24" borderId="10" xfId="0" applyNumberFormat="1" applyFont="1" applyFill="1" applyBorder="1" applyAlignment="1">
      <alignment horizontal="left" vertical="center"/>
    </xf>
    <xf numFmtId="166" fontId="96" fillId="24" borderId="12" xfId="0" applyNumberFormat="1" applyFont="1" applyFill="1" applyBorder="1" applyAlignment="1">
      <alignment horizontal="left" vertical="top"/>
    </xf>
    <xf numFmtId="0" fontId="49" fillId="24" borderId="36" xfId="0" applyFont="1" applyFill="1" applyBorder="1" applyAlignment="1">
      <alignment horizontal="center" vertical="center"/>
    </xf>
    <xf numFmtId="0" fontId="96" fillId="0" borderId="0" xfId="0" applyFont="1"/>
    <xf numFmtId="0" fontId="48" fillId="0" borderId="15" xfId="0" applyFont="1" applyBorder="1" applyAlignment="1">
      <alignment horizontal="left" vertical="center"/>
    </xf>
    <xf numFmtId="9" fontId="47" fillId="0" borderId="12" xfId="22" applyFont="1" applyFill="1" applyBorder="1" applyAlignment="1">
      <alignment horizontal="left" vertical="center"/>
    </xf>
    <xf numFmtId="9" fontId="47" fillId="0" borderId="17" xfId="22" applyFont="1" applyBorder="1" applyAlignment="1">
      <alignment horizontal="left" vertical="center"/>
    </xf>
    <xf numFmtId="0" fontId="96" fillId="24" borderId="16" xfId="0" applyFont="1" applyFill="1" applyBorder="1" applyAlignment="1">
      <alignment horizontal="left" vertical="center" textRotation="90" wrapText="1"/>
    </xf>
    <xf numFmtId="0" fontId="96" fillId="25" borderId="17" xfId="0" applyFont="1" applyFill="1" applyBorder="1" applyAlignment="1">
      <alignment horizontal="left" vertical="center" wrapText="1"/>
    </xf>
    <xf numFmtId="9" fontId="96" fillId="24" borderId="17" xfId="22" applyFont="1" applyFill="1" applyBorder="1" applyAlignment="1">
      <alignment horizontal="left" vertical="center" wrapText="1"/>
    </xf>
    <xf numFmtId="166" fontId="60" fillId="24" borderId="12" xfId="0" applyNumberFormat="1" applyFont="1" applyFill="1" applyBorder="1" applyAlignment="1">
      <alignment horizontal="left" vertical="center"/>
    </xf>
    <xf numFmtId="0" fontId="98" fillId="24" borderId="9" xfId="0" applyFont="1" applyFill="1" applyBorder="1" applyAlignment="1">
      <alignment horizontal="left" vertical="center" textRotation="90" wrapText="1"/>
    </xf>
    <xf numFmtId="0" fontId="53" fillId="18" borderId="12" xfId="0" applyFont="1" applyFill="1" applyBorder="1" applyAlignment="1">
      <alignment horizontal="center" vertical="center" wrapText="1"/>
    </xf>
    <xf numFmtId="0" fontId="52" fillId="0" borderId="0" xfId="0" applyFont="1" applyAlignment="1">
      <alignment horizontal="left"/>
    </xf>
    <xf numFmtId="0" fontId="53" fillId="18" borderId="0" xfId="0" applyFont="1" applyFill="1" applyAlignment="1">
      <alignment horizontal="center" vertical="center" wrapText="1"/>
    </xf>
    <xf numFmtId="0" fontId="53" fillId="18" borderId="0" xfId="0" applyFont="1" applyFill="1" applyAlignment="1">
      <alignment horizontal="center" vertical="center"/>
    </xf>
    <xf numFmtId="0" fontId="55" fillId="18" borderId="0" xfId="0" applyFont="1" applyFill="1" applyAlignment="1">
      <alignment horizontal="center" vertical="center"/>
    </xf>
    <xf numFmtId="0" fontId="119" fillId="0" borderId="12" xfId="0" applyFont="1" applyBorder="1" applyAlignment="1">
      <alignment horizontal="center" vertical="center" wrapText="1"/>
    </xf>
    <xf numFmtId="0" fontId="119" fillId="0" borderId="12" xfId="0" applyFont="1" applyBorder="1" applyAlignment="1">
      <alignment horizontal="left" vertical="center" wrapText="1"/>
    </xf>
    <xf numFmtId="0" fontId="121" fillId="0" borderId="52" xfId="0" applyFont="1" applyBorder="1" applyAlignment="1">
      <alignment horizontal="center" vertical="center"/>
    </xf>
    <xf numFmtId="0" fontId="121" fillId="0" borderId="53" xfId="0" applyFont="1" applyBorder="1" applyAlignment="1">
      <alignment horizontal="center" vertical="center" wrapText="1"/>
    </xf>
    <xf numFmtId="16" fontId="52" fillId="0" borderId="12" xfId="0" applyNumberFormat="1" applyFont="1" applyBorder="1" applyAlignment="1">
      <alignment horizontal="center" vertical="center" wrapText="1"/>
    </xf>
    <xf numFmtId="166" fontId="49" fillId="24" borderId="12" xfId="0" applyNumberFormat="1" applyFont="1" applyFill="1" applyBorder="1" applyAlignment="1">
      <alignment horizontal="left" vertical="center" wrapText="1"/>
    </xf>
    <xf numFmtId="166" fontId="47" fillId="0" borderId="79" xfId="0" applyNumberFormat="1" applyFont="1" applyBorder="1" applyAlignment="1">
      <alignment horizontal="left" vertical="center"/>
    </xf>
    <xf numFmtId="166" fontId="47" fillId="0" borderId="29" xfId="0" applyNumberFormat="1" applyFont="1" applyBorder="1" applyAlignment="1">
      <alignment horizontal="left" vertical="center"/>
    </xf>
    <xf numFmtId="0" fontId="0" fillId="0" borderId="63" xfId="0" applyBorder="1" applyAlignment="1">
      <alignment horizontal="center" vertical="center"/>
    </xf>
    <xf numFmtId="9" fontId="96" fillId="24" borderId="12" xfId="22" applyFont="1" applyFill="1" applyBorder="1" applyAlignment="1">
      <alignment horizontal="left" vertical="center"/>
    </xf>
    <xf numFmtId="166" fontId="96" fillId="24" borderId="10" xfId="0" applyNumberFormat="1" applyFont="1" applyFill="1" applyBorder="1" applyAlignment="1">
      <alignment horizontal="left" vertical="center"/>
    </xf>
    <xf numFmtId="166" fontId="83" fillId="0" borderId="18" xfId="0" applyNumberFormat="1" applyFont="1" applyBorder="1" applyAlignment="1">
      <alignment horizontal="left" vertical="center" wrapText="1"/>
    </xf>
    <xf numFmtId="166" fontId="83" fillId="0" borderId="12" xfId="0" applyNumberFormat="1" applyFont="1" applyBorder="1" applyAlignment="1">
      <alignment horizontal="left" vertical="center" wrapText="1"/>
    </xf>
    <xf numFmtId="166" fontId="96" fillId="18" borderId="12" xfId="0" applyNumberFormat="1" applyFont="1" applyFill="1" applyBorder="1" applyAlignment="1">
      <alignment horizontal="left" vertical="center"/>
    </xf>
    <xf numFmtId="166" fontId="96" fillId="44" borderId="12" xfId="0" applyNumberFormat="1" applyFont="1" applyFill="1" applyBorder="1" applyAlignment="1">
      <alignment horizontal="left" vertical="center"/>
    </xf>
    <xf numFmtId="0" fontId="52" fillId="0" borderId="12" xfId="0" applyFont="1" applyBorder="1" applyAlignment="1">
      <alignment horizontal="left" vertical="center" wrapText="1"/>
    </xf>
    <xf numFmtId="166" fontId="52" fillId="0" borderId="12" xfId="0" applyNumberFormat="1" applyFont="1" applyBorder="1" applyAlignment="1">
      <alignment horizontal="center" vertical="center" wrapText="1"/>
    </xf>
    <xf numFmtId="0" fontId="52" fillId="0" borderId="17" xfId="0" applyFont="1" applyBorder="1" applyAlignment="1">
      <alignment horizontal="center" vertical="center" wrapText="1"/>
    </xf>
    <xf numFmtId="0" fontId="52" fillId="0" borderId="18" xfId="0" applyFont="1" applyBorder="1" applyAlignment="1">
      <alignment horizontal="center" vertical="center" wrapText="1"/>
    </xf>
    <xf numFmtId="0" fontId="52" fillId="0" borderId="23" xfId="0" applyFont="1" applyBorder="1" applyAlignment="1">
      <alignment horizontal="center" vertical="center" wrapText="1"/>
    </xf>
    <xf numFmtId="0" fontId="0" fillId="0" borderId="12" xfId="0" applyBorder="1" applyAlignment="1">
      <alignment horizontal="center" vertical="center" wrapText="1"/>
    </xf>
    <xf numFmtId="9" fontId="15" fillId="0" borderId="12" xfId="0" applyNumberFormat="1" applyFont="1" applyBorder="1" applyAlignment="1">
      <alignment horizontal="center" vertical="center" wrapText="1"/>
    </xf>
    <xf numFmtId="9" fontId="0" fillId="0" borderId="12" xfId="0" applyNumberFormat="1" applyBorder="1" applyAlignment="1">
      <alignment horizontal="center" vertical="center" wrapText="1"/>
    </xf>
    <xf numFmtId="0" fontId="52" fillId="0" borderId="13" xfId="0" applyFont="1" applyBorder="1" applyAlignment="1">
      <alignment horizontal="center" vertical="center" wrapText="1"/>
    </xf>
    <xf numFmtId="0" fontId="52" fillId="0" borderId="20" xfId="0" applyFont="1" applyBorder="1" applyAlignment="1">
      <alignment horizontal="center" vertical="center" wrapText="1"/>
    </xf>
    <xf numFmtId="0" fontId="52" fillId="0" borderId="13" xfId="0" applyFont="1" applyBorder="1" applyAlignment="1">
      <alignment horizontal="justify" vertical="center" wrapText="1"/>
    </xf>
    <xf numFmtId="0" fontId="52" fillId="0" borderId="23" xfId="0" applyFont="1" applyBorder="1" applyAlignment="1">
      <alignment horizontal="justify" vertical="center" wrapText="1"/>
    </xf>
    <xf numFmtId="0" fontId="52" fillId="0" borderId="20" xfId="0" applyFont="1" applyBorder="1" applyAlignment="1">
      <alignment horizontal="justify" vertical="center" wrapText="1"/>
    </xf>
    <xf numFmtId="9" fontId="15" fillId="0" borderId="18" xfId="0" applyNumberFormat="1" applyFont="1" applyBorder="1" applyAlignment="1">
      <alignment horizontal="center" vertical="center" wrapText="1"/>
    </xf>
    <xf numFmtId="0" fontId="33" fillId="0" borderId="86" xfId="0" applyFont="1" applyBorder="1" applyAlignment="1">
      <alignment horizontal="center" vertical="center" wrapText="1"/>
    </xf>
    <xf numFmtId="0" fontId="33" fillId="0" borderId="87" xfId="0" applyFont="1" applyBorder="1" applyAlignment="1">
      <alignment horizontal="center" vertical="center" wrapText="1"/>
    </xf>
    <xf numFmtId="0" fontId="33" fillId="0" borderId="12" xfId="0" applyFont="1" applyBorder="1" applyAlignment="1">
      <alignment horizontal="center" vertical="center" wrapText="1"/>
    </xf>
    <xf numFmtId="9" fontId="47" fillId="0" borderId="18" xfId="22" applyFont="1" applyBorder="1" applyAlignment="1">
      <alignment horizontal="center" vertical="center" wrapText="1"/>
    </xf>
    <xf numFmtId="9" fontId="47" fillId="0" borderId="12" xfId="22" applyFont="1" applyBorder="1" applyAlignment="1">
      <alignment horizontal="center" vertical="center"/>
    </xf>
    <xf numFmtId="9" fontId="47" fillId="0" borderId="7" xfId="22" applyFont="1" applyBorder="1" applyAlignment="1">
      <alignment horizontal="center" vertical="center"/>
    </xf>
    <xf numFmtId="9" fontId="47" fillId="0" borderId="12" xfId="22" applyFont="1" applyBorder="1" applyAlignment="1">
      <alignment horizontal="center" vertical="center" wrapText="1"/>
    </xf>
    <xf numFmtId="49" fontId="96" fillId="24" borderId="13" xfId="0" applyNumberFormat="1" applyFont="1" applyFill="1" applyBorder="1" applyAlignment="1">
      <alignment vertical="top" wrapText="1"/>
    </xf>
    <xf numFmtId="49" fontId="96" fillId="0" borderId="0" xfId="0" applyNumberFormat="1" applyFont="1" applyAlignment="1">
      <alignment horizontal="center" vertical="top" wrapText="1"/>
    </xf>
    <xf numFmtId="49" fontId="96" fillId="0" borderId="0" xfId="0" applyNumberFormat="1" applyFont="1" applyAlignment="1">
      <alignment horizontal="center" vertical="center" wrapText="1"/>
    </xf>
    <xf numFmtId="0" fontId="0" fillId="0" borderId="12" xfId="0" applyBorder="1" applyAlignment="1">
      <alignment wrapText="1"/>
    </xf>
    <xf numFmtId="166" fontId="96" fillId="24" borderId="13" xfId="0" applyNumberFormat="1" applyFont="1" applyFill="1" applyBorder="1" applyAlignment="1">
      <alignment vertical="center"/>
    </xf>
    <xf numFmtId="166" fontId="100" fillId="24" borderId="12" xfId="0" applyNumberFormat="1" applyFont="1" applyFill="1" applyBorder="1" applyAlignment="1">
      <alignment horizontal="center" vertical="center"/>
    </xf>
    <xf numFmtId="166" fontId="47" fillId="24" borderId="36" xfId="0" applyNumberFormat="1" applyFont="1" applyFill="1" applyBorder="1" applyAlignment="1">
      <alignment horizontal="center" vertical="center"/>
    </xf>
    <xf numFmtId="0" fontId="57" fillId="0" borderId="52" xfId="0" applyFont="1" applyBorder="1" applyAlignment="1">
      <alignment horizontal="center" vertical="center" wrapText="1"/>
    </xf>
    <xf numFmtId="166" fontId="0" fillId="0" borderId="52" xfId="0" applyNumberFormat="1" applyBorder="1" applyAlignment="1">
      <alignment horizontal="center" vertical="center"/>
    </xf>
    <xf numFmtId="0" fontId="51" fillId="0" borderId="52" xfId="0" applyFont="1" applyBorder="1" applyAlignment="1">
      <alignment horizontal="center" vertical="center" wrapText="1"/>
    </xf>
    <xf numFmtId="0" fontId="33" fillId="0" borderId="52" xfId="0" applyFont="1" applyBorder="1" applyAlignment="1">
      <alignment horizontal="center" vertical="center"/>
    </xf>
    <xf numFmtId="0" fontId="33" fillId="0" borderId="52" xfId="0" applyFont="1" applyBorder="1" applyAlignment="1">
      <alignment horizontal="center" vertical="center" wrapText="1"/>
    </xf>
    <xf numFmtId="0" fontId="33" fillId="0" borderId="85" xfId="0" applyFont="1" applyBorder="1" applyAlignment="1">
      <alignment horizontal="center" vertical="center" wrapText="1"/>
    </xf>
    <xf numFmtId="0" fontId="33" fillId="0" borderId="64" xfId="0" applyFont="1" applyBorder="1" applyAlignment="1">
      <alignment horizontal="center" vertical="center"/>
    </xf>
    <xf numFmtId="0" fontId="33" fillId="0" borderId="0" xfId="0" applyFont="1" applyAlignment="1">
      <alignment wrapText="1"/>
    </xf>
    <xf numFmtId="166" fontId="100" fillId="44" borderId="12" xfId="0" applyNumberFormat="1" applyFont="1" applyFill="1" applyBorder="1" applyAlignment="1">
      <alignment horizontal="left" vertical="center"/>
    </xf>
    <xf numFmtId="166" fontId="100" fillId="18" borderId="12" xfId="0" applyNumberFormat="1" applyFont="1" applyFill="1" applyBorder="1" applyAlignment="1">
      <alignment horizontal="left" vertical="center"/>
    </xf>
    <xf numFmtId="166" fontId="83" fillId="23" borderId="12" xfId="0" applyNumberFormat="1" applyFont="1" applyFill="1" applyBorder="1" applyAlignment="1">
      <alignment horizontal="left" vertical="center"/>
    </xf>
    <xf numFmtId="166" fontId="83" fillId="14" borderId="12" xfId="0" applyNumberFormat="1" applyFont="1" applyFill="1" applyBorder="1" applyAlignment="1">
      <alignment horizontal="left" vertical="center"/>
    </xf>
    <xf numFmtId="0" fontId="83" fillId="11" borderId="12" xfId="0" applyFont="1" applyFill="1" applyBorder="1" applyAlignment="1">
      <alignment horizontal="left" vertical="center" wrapText="1"/>
    </xf>
    <xf numFmtId="9" fontId="83" fillId="0" borderId="12" xfId="22" applyFont="1" applyBorder="1" applyAlignment="1">
      <alignment horizontal="left" vertical="center" wrapText="1"/>
    </xf>
    <xf numFmtId="166" fontId="83" fillId="0" borderId="7" xfId="0" applyNumberFormat="1" applyFont="1" applyBorder="1" applyAlignment="1">
      <alignment horizontal="left" vertical="center"/>
    </xf>
    <xf numFmtId="9" fontId="83" fillId="0" borderId="18" xfId="22" applyFont="1" applyFill="1" applyBorder="1" applyAlignment="1">
      <alignment horizontal="left" vertical="center" wrapText="1"/>
    </xf>
    <xf numFmtId="9" fontId="49" fillId="19" borderId="12" xfId="22" applyFont="1" applyFill="1" applyBorder="1" applyAlignment="1">
      <alignment horizontal="left" vertical="center" wrapText="1"/>
    </xf>
    <xf numFmtId="166" fontId="49" fillId="19" borderId="12" xfId="0" applyNumberFormat="1" applyFont="1" applyFill="1" applyBorder="1" applyAlignment="1">
      <alignment horizontal="left" vertical="center"/>
    </xf>
    <xf numFmtId="166" fontId="98" fillId="19" borderId="12" xfId="0" applyNumberFormat="1" applyFont="1" applyFill="1" applyBorder="1" applyAlignment="1">
      <alignment horizontal="left" vertical="center"/>
    </xf>
    <xf numFmtId="0" fontId="48" fillId="24" borderId="21" xfId="0" applyFont="1" applyFill="1" applyBorder="1" applyAlignment="1">
      <alignment horizontal="left" vertical="center" textRotation="90" wrapText="1"/>
    </xf>
    <xf numFmtId="166" fontId="49" fillId="24" borderId="29" xfId="0" applyNumberFormat="1" applyFont="1" applyFill="1" applyBorder="1" applyAlignment="1">
      <alignment horizontal="left" vertical="center"/>
    </xf>
    <xf numFmtId="166" fontId="33" fillId="0" borderId="12" xfId="0" applyNumberFormat="1" applyFont="1" applyBorder="1"/>
    <xf numFmtId="0" fontId="52" fillId="0" borderId="12" xfId="0" applyFont="1" applyBorder="1" applyAlignment="1">
      <alignment vertical="center" wrapText="1"/>
    </xf>
    <xf numFmtId="0" fontId="29" fillId="0" borderId="0" xfId="0" applyFont="1" applyAlignment="1">
      <alignment horizontal="center"/>
    </xf>
    <xf numFmtId="49" fontId="48" fillId="24" borderId="9" xfId="0" applyNumberFormat="1" applyFont="1" applyFill="1" applyBorder="1" applyAlignment="1">
      <alignment horizontal="center" vertical="center"/>
    </xf>
    <xf numFmtId="9" fontId="47" fillId="14" borderId="17" xfId="22" applyFont="1" applyFill="1" applyBorder="1" applyAlignment="1">
      <alignment horizontal="left" vertical="center" wrapText="1"/>
    </xf>
    <xf numFmtId="49" fontId="83" fillId="0" borderId="12" xfId="0" applyNumberFormat="1" applyFont="1" applyBorder="1" applyAlignment="1">
      <alignment horizontal="left" vertical="center" wrapText="1"/>
    </xf>
    <xf numFmtId="0" fontId="52" fillId="0" borderId="17" xfId="0" applyFont="1" applyBorder="1" applyAlignment="1">
      <alignment horizontal="left" vertical="center" wrapText="1"/>
    </xf>
    <xf numFmtId="0" fontId="29" fillId="10" borderId="52" xfId="0" applyFont="1" applyFill="1" applyBorder="1" applyAlignment="1">
      <alignment horizontal="center" vertical="center" wrapText="1"/>
    </xf>
    <xf numFmtId="0" fontId="33" fillId="10" borderId="52" xfId="0" applyFont="1" applyFill="1" applyBorder="1" applyAlignment="1">
      <alignment horizontal="center" vertical="center" wrapText="1"/>
    </xf>
    <xf numFmtId="49" fontId="48" fillId="0" borderId="29" xfId="0" applyNumberFormat="1" applyFont="1" applyBorder="1" applyAlignment="1">
      <alignment horizontal="left" vertical="top" wrapText="1"/>
    </xf>
    <xf numFmtId="49" fontId="48" fillId="0" borderId="25" xfId="0" applyNumberFormat="1" applyFont="1" applyBorder="1" applyAlignment="1">
      <alignment horizontal="left" vertical="top" wrapText="1"/>
    </xf>
    <xf numFmtId="49" fontId="49" fillId="17" borderId="12" xfId="0" applyNumberFormat="1" applyFont="1" applyFill="1" applyBorder="1" applyAlignment="1">
      <alignment horizontal="left" vertical="center"/>
    </xf>
    <xf numFmtId="166" fontId="0" fillId="18" borderId="12" xfId="0" applyNumberFormat="1" applyFill="1" applyBorder="1"/>
    <xf numFmtId="0" fontId="0" fillId="18" borderId="12" xfId="0" applyFill="1" applyBorder="1"/>
    <xf numFmtId="49" fontId="49" fillId="19" borderId="12" xfId="0" applyNumberFormat="1" applyFont="1" applyFill="1" applyBorder="1" applyAlignment="1">
      <alignment horizontal="left" vertical="center"/>
    </xf>
    <xf numFmtId="0" fontId="49" fillId="19" borderId="12" xfId="0" applyFont="1" applyFill="1" applyBorder="1" applyAlignment="1">
      <alignment horizontal="left" vertical="center" wrapText="1"/>
    </xf>
    <xf numFmtId="166" fontId="96" fillId="19" borderId="12" xfId="0" applyNumberFormat="1" applyFont="1" applyFill="1" applyBorder="1" applyAlignment="1">
      <alignment horizontal="left" vertical="center"/>
    </xf>
    <xf numFmtId="166" fontId="100" fillId="19" borderId="12" xfId="0" applyNumberFormat="1" applyFont="1" applyFill="1" applyBorder="1" applyAlignment="1">
      <alignment horizontal="left" vertical="center"/>
    </xf>
    <xf numFmtId="0" fontId="49" fillId="24" borderId="9" xfId="0" applyFont="1" applyFill="1" applyBorder="1" applyAlignment="1">
      <alignment horizontal="left" vertical="center" textRotation="90" wrapText="1"/>
    </xf>
    <xf numFmtId="0" fontId="49" fillId="25" borderId="0" xfId="0" applyFont="1" applyFill="1" applyAlignment="1">
      <alignment horizontal="left" vertical="center" wrapText="1"/>
    </xf>
    <xf numFmtId="166" fontId="49" fillId="24" borderId="10" xfId="0" applyNumberFormat="1" applyFont="1" applyFill="1" applyBorder="1" applyAlignment="1">
      <alignment horizontal="left" vertical="center"/>
    </xf>
    <xf numFmtId="166" fontId="83" fillId="24" borderId="12" xfId="0" applyNumberFormat="1" applyFont="1" applyFill="1" applyBorder="1" applyAlignment="1">
      <alignment horizontal="left" vertical="center" wrapText="1"/>
    </xf>
    <xf numFmtId="0" fontId="96" fillId="24" borderId="14" xfId="0" applyFont="1" applyFill="1" applyBorder="1" applyAlignment="1">
      <alignment horizontal="left" vertical="center" textRotation="90" wrapText="1"/>
    </xf>
    <xf numFmtId="49" fontId="49" fillId="24" borderId="6" xfId="0" applyNumberFormat="1" applyFont="1" applyFill="1" applyBorder="1" applyAlignment="1">
      <alignment horizontal="left" vertical="center"/>
    </xf>
    <xf numFmtId="9" fontId="96" fillId="24" borderId="18" xfId="22" applyFont="1" applyFill="1" applyBorder="1" applyAlignment="1">
      <alignment horizontal="left" vertical="center" wrapText="1"/>
    </xf>
    <xf numFmtId="0" fontId="29" fillId="0" borderId="0" xfId="0" applyFont="1" applyAlignment="1">
      <alignment horizontal="left" wrapText="1"/>
    </xf>
    <xf numFmtId="166" fontId="29" fillId="0" borderId="0" xfId="0" applyNumberFormat="1" applyFont="1"/>
    <xf numFmtId="0" fontId="29" fillId="0" borderId="0" xfId="0" applyFont="1"/>
    <xf numFmtId="0" fontId="29" fillId="0" borderId="0" xfId="0" applyFont="1" applyAlignment="1">
      <alignment horizontal="right" wrapText="1"/>
    </xf>
    <xf numFmtId="166" fontId="29" fillId="0" borderId="12" xfId="0" applyNumberFormat="1" applyFont="1" applyBorder="1" applyAlignment="1">
      <alignment wrapText="1"/>
    </xf>
    <xf numFmtId="0" fontId="96" fillId="24" borderId="21" xfId="0" applyFont="1" applyFill="1" applyBorder="1" applyAlignment="1">
      <alignment horizontal="left" vertical="center" textRotation="90" wrapText="1"/>
    </xf>
    <xf numFmtId="0" fontId="96" fillId="42" borderId="12" xfId="0" applyFont="1" applyFill="1" applyBorder="1" applyAlignment="1">
      <alignment horizontal="left" vertical="center" wrapText="1"/>
    </xf>
    <xf numFmtId="166" fontId="96" fillId="41" borderId="12" xfId="0" applyNumberFormat="1" applyFont="1" applyFill="1" applyBorder="1" applyAlignment="1">
      <alignment horizontal="left" vertical="center"/>
    </xf>
    <xf numFmtId="166" fontId="100" fillId="41" borderId="12" xfId="0" applyNumberFormat="1" applyFont="1" applyFill="1" applyBorder="1" applyAlignment="1">
      <alignment horizontal="left" vertical="center"/>
    </xf>
    <xf numFmtId="9" fontId="96" fillId="41" borderId="12" xfId="22" applyFont="1" applyFill="1" applyBorder="1" applyAlignment="1">
      <alignment horizontal="left" vertical="center" wrapText="1"/>
    </xf>
    <xf numFmtId="166" fontId="92" fillId="0" borderId="12" xfId="0" applyNumberFormat="1" applyFont="1" applyBorder="1" applyAlignment="1">
      <alignment horizontal="left" vertical="center"/>
    </xf>
    <xf numFmtId="0" fontId="96" fillId="42" borderId="17" xfId="0" applyFont="1" applyFill="1" applyBorder="1" applyAlignment="1">
      <alignment horizontal="left" vertical="center" wrapText="1"/>
    </xf>
    <xf numFmtId="166" fontId="96" fillId="41" borderId="17" xfId="0" applyNumberFormat="1" applyFont="1" applyFill="1" applyBorder="1" applyAlignment="1">
      <alignment horizontal="left" vertical="center"/>
    </xf>
    <xf numFmtId="49" fontId="48" fillId="24" borderId="29" xfId="0" applyNumberFormat="1" applyFont="1" applyFill="1" applyBorder="1" applyAlignment="1">
      <alignment horizontal="center" vertical="center" wrapText="1"/>
    </xf>
    <xf numFmtId="0" fontId="47" fillId="24" borderId="18" xfId="0" applyFont="1" applyFill="1" applyBorder="1" applyAlignment="1">
      <alignment horizontal="center" vertical="center"/>
    </xf>
    <xf numFmtId="0" fontId="49" fillId="25" borderId="18" xfId="0" applyFont="1" applyFill="1" applyBorder="1" applyAlignment="1">
      <alignment horizontal="left" vertical="center" wrapText="1"/>
    </xf>
    <xf numFmtId="166" fontId="100" fillId="24" borderId="29" xfId="0" applyNumberFormat="1" applyFont="1" applyFill="1" applyBorder="1" applyAlignment="1">
      <alignment horizontal="left" vertical="center"/>
    </xf>
    <xf numFmtId="49" fontId="49" fillId="24" borderId="17" xfId="0" applyNumberFormat="1" applyFont="1" applyFill="1" applyBorder="1" applyAlignment="1">
      <alignment horizontal="left" vertical="center"/>
    </xf>
    <xf numFmtId="0" fontId="60" fillId="24" borderId="12" xfId="0" applyFont="1" applyFill="1" applyBorder="1" applyAlignment="1">
      <alignment horizontal="left" vertical="center"/>
    </xf>
    <xf numFmtId="9" fontId="47" fillId="0" borderId="7" xfId="22" applyFont="1" applyBorder="1" applyAlignment="1">
      <alignment horizontal="left" vertical="center"/>
    </xf>
    <xf numFmtId="0" fontId="49" fillId="14" borderId="12" xfId="0" applyFont="1" applyFill="1" applyBorder="1" applyAlignment="1">
      <alignment vertical="center"/>
    </xf>
    <xf numFmtId="0" fontId="49" fillId="18" borderId="12" xfId="0" applyFont="1" applyFill="1" applyBorder="1" applyAlignment="1">
      <alignment vertical="center" wrapText="1"/>
    </xf>
    <xf numFmtId="0" fontId="49" fillId="24" borderId="12" xfId="0" applyFont="1" applyFill="1" applyBorder="1" applyAlignment="1">
      <alignment vertical="center" wrapText="1"/>
    </xf>
    <xf numFmtId="0" fontId="49" fillId="46" borderId="12" xfId="0" applyFont="1" applyFill="1" applyBorder="1" applyAlignment="1">
      <alignment vertical="center" wrapText="1"/>
    </xf>
    <xf numFmtId="0" fontId="49" fillId="47" borderId="12" xfId="0" applyFont="1" applyFill="1" applyBorder="1" applyAlignment="1">
      <alignment vertical="center"/>
    </xf>
    <xf numFmtId="0" fontId="0" fillId="47" borderId="12" xfId="0" applyFill="1" applyBorder="1"/>
    <xf numFmtId="0" fontId="49" fillId="48" borderId="12" xfId="0" applyFont="1" applyFill="1" applyBorder="1" applyAlignment="1">
      <alignment vertical="center"/>
    </xf>
    <xf numFmtId="0" fontId="0" fillId="48" borderId="12" xfId="0" applyFill="1" applyBorder="1"/>
    <xf numFmtId="0" fontId="49" fillId="44" borderId="12" xfId="0" applyFont="1" applyFill="1" applyBorder="1" applyAlignment="1">
      <alignment vertical="center"/>
    </xf>
    <xf numFmtId="0" fontId="49" fillId="18" borderId="12" xfId="0" applyFont="1" applyFill="1" applyBorder="1" applyAlignment="1">
      <alignment vertical="center"/>
    </xf>
    <xf numFmtId="0" fontId="0" fillId="5" borderId="12" xfId="0" applyFill="1" applyBorder="1"/>
    <xf numFmtId="0" fontId="49" fillId="5" borderId="12" xfId="0" applyFont="1" applyFill="1" applyBorder="1" applyAlignment="1">
      <alignment vertical="center"/>
    </xf>
    <xf numFmtId="0" fontId="49" fillId="49" borderId="12" xfId="0" applyFont="1" applyFill="1" applyBorder="1" applyAlignment="1">
      <alignment vertical="center"/>
    </xf>
    <xf numFmtId="0" fontId="0" fillId="49" borderId="12" xfId="0" applyFill="1" applyBorder="1"/>
    <xf numFmtId="166" fontId="0" fillId="49" borderId="12" xfId="0" applyNumberFormat="1" applyFill="1" applyBorder="1"/>
    <xf numFmtId="0" fontId="49" fillId="17" borderId="12" xfId="0" applyFont="1" applyFill="1" applyBorder="1" applyAlignment="1">
      <alignment vertical="center"/>
    </xf>
    <xf numFmtId="166" fontId="0" fillId="17" borderId="12" xfId="0" applyNumberFormat="1" applyFill="1" applyBorder="1"/>
    <xf numFmtId="166" fontId="78" fillId="17" borderId="12" xfId="0" applyNumberFormat="1" applyFont="1" applyFill="1" applyBorder="1"/>
    <xf numFmtId="0" fontId="0" fillId="17" borderId="12" xfId="0" applyFill="1" applyBorder="1"/>
    <xf numFmtId="0" fontId="49" fillId="50" borderId="12" xfId="0" applyFont="1" applyFill="1" applyBorder="1" applyAlignment="1">
      <alignment vertical="center"/>
    </xf>
    <xf numFmtId="0" fontId="49" fillId="51" borderId="12" xfId="0" applyFont="1" applyFill="1" applyBorder="1" applyAlignment="1">
      <alignment vertical="center"/>
    </xf>
    <xf numFmtId="166" fontId="29" fillId="51" borderId="12" xfId="0" applyNumberFormat="1" applyFont="1" applyFill="1" applyBorder="1"/>
    <xf numFmtId="0" fontId="29" fillId="51" borderId="12" xfId="0" applyFont="1" applyFill="1" applyBorder="1"/>
    <xf numFmtId="166" fontId="130" fillId="46" borderId="12" xfId="0" applyNumberFormat="1" applyFont="1" applyFill="1" applyBorder="1"/>
    <xf numFmtId="166" fontId="130" fillId="47" borderId="12" xfId="0" applyNumberFormat="1" applyFont="1" applyFill="1" applyBorder="1"/>
    <xf numFmtId="166" fontId="130" fillId="48" borderId="12" xfId="0" applyNumberFormat="1" applyFont="1" applyFill="1" applyBorder="1"/>
    <xf numFmtId="166" fontId="130" fillId="18" borderId="12" xfId="0" applyNumberFormat="1" applyFont="1" applyFill="1" applyBorder="1"/>
    <xf numFmtId="166" fontId="130" fillId="5" borderId="12" xfId="0" applyNumberFormat="1" applyFont="1" applyFill="1" applyBorder="1"/>
    <xf numFmtId="0" fontId="130" fillId="0" borderId="12" xfId="0" applyFont="1" applyBorder="1"/>
    <xf numFmtId="166" fontId="130" fillId="0" borderId="12" xfId="0" applyNumberFormat="1" applyFont="1" applyBorder="1"/>
    <xf numFmtId="0" fontId="130" fillId="49" borderId="12" xfId="0" applyFont="1" applyFill="1" applyBorder="1"/>
    <xf numFmtId="166" fontId="130" fillId="49" borderId="12" xfId="0" applyNumberFormat="1" applyFont="1" applyFill="1" applyBorder="1"/>
    <xf numFmtId="9" fontId="47" fillId="0" borderId="20" xfId="22" applyFont="1" applyBorder="1" applyAlignment="1">
      <alignment horizontal="left" vertical="center" wrapText="1"/>
    </xf>
    <xf numFmtId="0" fontId="29" fillId="0" borderId="0" xfId="0" applyFont="1" applyAlignment="1">
      <alignment wrapText="1"/>
    </xf>
    <xf numFmtId="0" fontId="131" fillId="48" borderId="12" xfId="0" applyFont="1" applyFill="1" applyBorder="1"/>
    <xf numFmtId="0" fontId="130" fillId="48" borderId="12" xfId="0" applyFont="1" applyFill="1" applyBorder="1"/>
    <xf numFmtId="0" fontId="33" fillId="0" borderId="12" xfId="0" applyFont="1" applyBorder="1"/>
    <xf numFmtId="166" fontId="105" fillId="24" borderId="12" xfId="0" applyNumberFormat="1" applyFont="1" applyFill="1" applyBorder="1" applyAlignment="1">
      <alignment vertical="center"/>
    </xf>
    <xf numFmtId="166" fontId="97" fillId="0" borderId="13" xfId="0" applyNumberFormat="1" applyFont="1" applyBorder="1" applyAlignment="1">
      <alignment vertical="center"/>
    </xf>
    <xf numFmtId="166" fontId="97" fillId="0" borderId="29" xfId="0" applyNumberFormat="1" applyFont="1" applyBorder="1" applyAlignment="1">
      <alignment vertical="center" wrapText="1"/>
    </xf>
    <xf numFmtId="166" fontId="97" fillId="0" borderId="8" xfId="0" applyNumberFormat="1" applyFont="1" applyBorder="1" applyAlignment="1">
      <alignment vertical="center"/>
    </xf>
    <xf numFmtId="9" fontId="97" fillId="0" borderId="29" xfId="22" applyFont="1" applyBorder="1" applyAlignment="1">
      <alignment vertical="center" wrapText="1"/>
    </xf>
    <xf numFmtId="166" fontId="109" fillId="24" borderId="12" xfId="0" applyNumberFormat="1" applyFont="1" applyFill="1" applyBorder="1" applyAlignment="1">
      <alignment vertical="center"/>
    </xf>
    <xf numFmtId="0" fontId="96" fillId="24" borderId="13" xfId="0" applyFont="1" applyFill="1" applyBorder="1" applyAlignment="1">
      <alignment vertical="center" wrapText="1"/>
    </xf>
    <xf numFmtId="0" fontId="96" fillId="24" borderId="27" xfId="0" applyFont="1" applyFill="1" applyBorder="1" applyAlignment="1">
      <alignment vertical="center" wrapText="1"/>
    </xf>
    <xf numFmtId="0" fontId="96" fillId="24" borderId="15" xfId="0" applyFont="1" applyFill="1" applyBorder="1" applyAlignment="1">
      <alignment vertical="center" wrapText="1"/>
    </xf>
    <xf numFmtId="166" fontId="100" fillId="24" borderId="13" xfId="0" applyNumberFormat="1" applyFont="1" applyFill="1" applyBorder="1" applyAlignment="1">
      <alignment vertical="center"/>
    </xf>
    <xf numFmtId="166" fontId="29" fillId="50" borderId="12" xfId="0" applyNumberFormat="1" applyFont="1" applyFill="1" applyBorder="1"/>
    <xf numFmtId="9" fontId="47" fillId="0" borderId="13" xfId="22" applyFont="1" applyBorder="1" applyAlignment="1">
      <alignment vertical="center"/>
    </xf>
    <xf numFmtId="9" fontId="96" fillId="24" borderId="13" xfId="22" applyFont="1" applyFill="1" applyBorder="1" applyAlignment="1">
      <alignment vertical="center"/>
    </xf>
    <xf numFmtId="9" fontId="47" fillId="0" borderId="8" xfId="22" applyFont="1" applyBorder="1" applyAlignment="1">
      <alignment vertical="center"/>
    </xf>
    <xf numFmtId="0" fontId="130" fillId="18" borderId="12" xfId="0" applyFont="1" applyFill="1" applyBorder="1"/>
    <xf numFmtId="0" fontId="49" fillId="17" borderId="12" xfId="0" applyFont="1" applyFill="1" applyBorder="1" applyAlignment="1">
      <alignment vertical="center" wrapText="1"/>
    </xf>
    <xf numFmtId="166" fontId="130" fillId="17" borderId="12" xfId="0" applyNumberFormat="1" applyFont="1" applyFill="1" applyBorder="1"/>
    <xf numFmtId="0" fontId="130" fillId="17" borderId="12" xfId="0" applyFont="1" applyFill="1" applyBorder="1"/>
    <xf numFmtId="0" fontId="130" fillId="5" borderId="12" xfId="0" applyFont="1" applyFill="1" applyBorder="1"/>
    <xf numFmtId="166" fontId="0" fillId="40" borderId="0" xfId="0" applyNumberFormat="1" applyFill="1"/>
    <xf numFmtId="166" fontId="33" fillId="18" borderId="12" xfId="0" applyNumberFormat="1" applyFont="1" applyFill="1" applyBorder="1"/>
    <xf numFmtId="166" fontId="33" fillId="17" borderId="12" xfId="0" applyNumberFormat="1" applyFont="1" applyFill="1" applyBorder="1"/>
    <xf numFmtId="0" fontId="33" fillId="50" borderId="12" xfId="0" applyFont="1" applyFill="1" applyBorder="1"/>
    <xf numFmtId="0" fontId="132" fillId="48" borderId="12" xfId="0" applyFont="1" applyFill="1" applyBorder="1"/>
    <xf numFmtId="9" fontId="84" fillId="0" borderId="12" xfId="22" applyFont="1" applyFill="1" applyBorder="1" applyAlignment="1">
      <alignment horizontal="center" vertical="center" wrapText="1"/>
    </xf>
    <xf numFmtId="166" fontId="47" fillId="0" borderId="29" xfId="0" applyNumberFormat="1" applyFont="1" applyBorder="1" applyAlignment="1">
      <alignment horizontal="center" vertical="center" wrapText="1"/>
    </xf>
    <xf numFmtId="0" fontId="96" fillId="0" borderId="0" xfId="0" applyFont="1" applyAlignment="1">
      <alignment horizontal="left" vertical="center" wrapText="1"/>
    </xf>
    <xf numFmtId="166" fontId="96" fillId="40" borderId="12" xfId="0" applyNumberFormat="1" applyFont="1" applyFill="1" applyBorder="1" applyAlignment="1">
      <alignment horizontal="left" vertical="center"/>
    </xf>
    <xf numFmtId="166" fontId="96" fillId="5" borderId="12" xfId="0" applyNumberFormat="1" applyFont="1" applyFill="1" applyBorder="1" applyAlignment="1">
      <alignment horizontal="left" vertical="center"/>
    </xf>
    <xf numFmtId="166" fontId="78" fillId="46" borderId="12" xfId="0" applyNumberFormat="1" applyFont="1" applyFill="1" applyBorder="1"/>
    <xf numFmtId="0" fontId="0" fillId="0" borderId="12" xfId="0" applyBorder="1" applyAlignment="1">
      <alignment horizontal="center"/>
    </xf>
    <xf numFmtId="166" fontId="29" fillId="24" borderId="12" xfId="0" applyNumberFormat="1" applyFont="1" applyFill="1" applyBorder="1"/>
    <xf numFmtId="0" fontId="0" fillId="31" borderId="12" xfId="0" applyFill="1" applyBorder="1"/>
    <xf numFmtId="166" fontId="29" fillId="31" borderId="12" xfId="0" applyNumberFormat="1" applyFont="1" applyFill="1" applyBorder="1"/>
    <xf numFmtId="166" fontId="33" fillId="24" borderId="0" xfId="0" applyNumberFormat="1" applyFont="1" applyFill="1"/>
    <xf numFmtId="0" fontId="33" fillId="17" borderId="12" xfId="0" applyFont="1" applyFill="1" applyBorder="1"/>
    <xf numFmtId="166" fontId="0" fillId="31" borderId="12" xfId="0" applyNumberFormat="1" applyFill="1" applyBorder="1"/>
    <xf numFmtId="166" fontId="33" fillId="31" borderId="12" xfId="0" applyNumberFormat="1" applyFont="1" applyFill="1" applyBorder="1"/>
    <xf numFmtId="166" fontId="33" fillId="24" borderId="12" xfId="0" applyNumberFormat="1" applyFont="1" applyFill="1" applyBorder="1"/>
    <xf numFmtId="0" fontId="29" fillId="24" borderId="12" xfId="0" applyFont="1" applyFill="1" applyBorder="1"/>
    <xf numFmtId="0" fontId="29" fillId="31" borderId="12" xfId="0" applyFont="1" applyFill="1" applyBorder="1"/>
    <xf numFmtId="0" fontId="29" fillId="0" borderId="12" xfId="0" applyFont="1" applyBorder="1" applyAlignment="1">
      <alignment horizontal="center"/>
    </xf>
    <xf numFmtId="0" fontId="49" fillId="0" borderId="12" xfId="0" applyFont="1" applyBorder="1" applyAlignment="1">
      <alignment vertical="center" wrapText="1"/>
    </xf>
    <xf numFmtId="166" fontId="29" fillId="0" borderId="0" xfId="0" applyNumberFormat="1" applyFont="1" applyAlignment="1">
      <alignment wrapText="1"/>
    </xf>
    <xf numFmtId="166" fontId="29" fillId="46" borderId="12" xfId="0" applyNumberFormat="1" applyFont="1" applyFill="1" applyBorder="1"/>
    <xf numFmtId="166" fontId="130" fillId="31" borderId="12" xfId="0" applyNumberFormat="1" applyFont="1" applyFill="1" applyBorder="1"/>
    <xf numFmtId="166" fontId="33" fillId="46" borderId="12" xfId="0" applyNumberFormat="1" applyFont="1" applyFill="1" applyBorder="1"/>
    <xf numFmtId="0" fontId="33" fillId="46" borderId="12" xfId="0" applyFont="1" applyFill="1" applyBorder="1"/>
    <xf numFmtId="166" fontId="49" fillId="5" borderId="12" xfId="0" applyNumberFormat="1" applyFont="1" applyFill="1" applyBorder="1" applyAlignment="1">
      <alignment horizontal="left" vertical="center"/>
    </xf>
    <xf numFmtId="166" fontId="98" fillId="24" borderId="12" xfId="0" applyNumberFormat="1" applyFont="1" applyFill="1" applyBorder="1" applyAlignment="1">
      <alignment horizontal="center" vertical="center"/>
    </xf>
    <xf numFmtId="166" fontId="29" fillId="48" borderId="12" xfId="0" applyNumberFormat="1" applyFont="1" applyFill="1" applyBorder="1"/>
    <xf numFmtId="166" fontId="33" fillId="48" borderId="12" xfId="0" applyNumberFormat="1" applyFont="1" applyFill="1" applyBorder="1"/>
    <xf numFmtId="0" fontId="29" fillId="48" borderId="12" xfId="0" applyFont="1" applyFill="1" applyBorder="1"/>
    <xf numFmtId="0" fontId="33" fillId="48" borderId="12" xfId="0" applyFont="1" applyFill="1" applyBorder="1"/>
    <xf numFmtId="166" fontId="33" fillId="47" borderId="12" xfId="0" applyNumberFormat="1" applyFont="1" applyFill="1" applyBorder="1"/>
    <xf numFmtId="0" fontId="33" fillId="47" borderId="12" xfId="0" applyFont="1" applyFill="1" applyBorder="1"/>
    <xf numFmtId="0" fontId="29" fillId="49" borderId="12" xfId="0" applyFont="1" applyFill="1" applyBorder="1"/>
    <xf numFmtId="0" fontId="33" fillId="49" borderId="12" xfId="0" applyFont="1" applyFill="1" applyBorder="1"/>
    <xf numFmtId="166" fontId="29" fillId="49" borderId="12" xfId="0" applyNumberFormat="1" applyFont="1" applyFill="1" applyBorder="1"/>
    <xf numFmtId="166" fontId="33" fillId="49" borderId="12" xfId="0" applyNumberFormat="1" applyFont="1" applyFill="1" applyBorder="1"/>
    <xf numFmtId="166" fontId="0" fillId="48" borderId="12" xfId="0" applyNumberFormat="1" applyFill="1" applyBorder="1"/>
    <xf numFmtId="166" fontId="33" fillId="47" borderId="15" xfId="0" applyNumberFormat="1" applyFont="1" applyFill="1" applyBorder="1"/>
    <xf numFmtId="166" fontId="29" fillId="47" borderId="15" xfId="0" applyNumberFormat="1" applyFont="1" applyFill="1" applyBorder="1"/>
    <xf numFmtId="166" fontId="0" fillId="46" borderId="12" xfId="0" applyNumberFormat="1" applyFill="1" applyBorder="1"/>
    <xf numFmtId="0" fontId="29" fillId="0" borderId="12" xfId="0" applyFont="1" applyBorder="1" applyAlignment="1">
      <alignment horizontal="center" vertical="center"/>
    </xf>
    <xf numFmtId="166" fontId="0" fillId="0" borderId="12" xfId="0" applyNumberFormat="1" applyBorder="1"/>
    <xf numFmtId="166" fontId="0" fillId="0" borderId="15" xfId="0" applyNumberFormat="1" applyBorder="1"/>
    <xf numFmtId="166" fontId="29" fillId="0" borderId="15" xfId="0" applyNumberFormat="1" applyFont="1" applyBorder="1"/>
    <xf numFmtId="0" fontId="49" fillId="0" borderId="12" xfId="0" applyFont="1" applyBorder="1" applyAlignment="1">
      <alignment vertical="center"/>
    </xf>
    <xf numFmtId="0" fontId="29" fillId="0" borderId="12" xfId="0" applyFont="1" applyBorder="1"/>
    <xf numFmtId="0" fontId="29" fillId="0" borderId="13" xfId="0" applyFont="1" applyBorder="1" applyAlignment="1">
      <alignment horizontal="center"/>
    </xf>
    <xf numFmtId="0" fontId="131" fillId="0" borderId="12" xfId="0" applyFont="1" applyBorder="1"/>
    <xf numFmtId="0" fontId="132" fillId="0" borderId="12" xfId="0" applyFont="1" applyBorder="1"/>
    <xf numFmtId="0" fontId="29" fillId="0" borderId="15" xfId="0" applyFont="1" applyBorder="1" applyAlignment="1">
      <alignment horizontal="center"/>
    </xf>
    <xf numFmtId="0" fontId="29" fillId="0" borderId="27" xfId="0" applyFont="1" applyBorder="1" applyAlignment="1">
      <alignment horizontal="center" wrapText="1"/>
    </xf>
    <xf numFmtId="0" fontId="29" fillId="0" borderId="15" xfId="0" applyFont="1" applyBorder="1" applyAlignment="1">
      <alignment horizontal="center" wrapText="1"/>
    </xf>
    <xf numFmtId="0" fontId="29" fillId="0" borderId="29" xfId="0" applyFont="1" applyBorder="1" applyAlignment="1">
      <alignment horizontal="center" wrapText="1"/>
    </xf>
    <xf numFmtId="166" fontId="78" fillId="0" borderId="12" xfId="0" applyNumberFormat="1" applyFont="1" applyBorder="1"/>
    <xf numFmtId="0" fontId="0" fillId="0" borderId="30" xfId="0" applyBorder="1" applyAlignment="1">
      <alignment horizontal="center"/>
    </xf>
    <xf numFmtId="166" fontId="29" fillId="0" borderId="12" xfId="0" applyNumberFormat="1" applyFont="1" applyBorder="1"/>
    <xf numFmtId="166" fontId="129" fillId="5" borderId="12" xfId="0" applyNumberFormat="1" applyFont="1" applyFill="1" applyBorder="1" applyAlignment="1">
      <alignment horizontal="left" vertical="center"/>
    </xf>
    <xf numFmtId="166" fontId="129" fillId="24" borderId="12" xfId="0" applyNumberFormat="1" applyFont="1" applyFill="1" applyBorder="1" applyAlignment="1">
      <alignment horizontal="left" vertical="center"/>
    </xf>
    <xf numFmtId="166" fontId="129" fillId="24" borderId="13" xfId="0" applyNumberFormat="1" applyFont="1" applyFill="1" applyBorder="1" applyAlignment="1">
      <alignment horizontal="left" vertical="center"/>
    </xf>
    <xf numFmtId="166" fontId="129" fillId="24" borderId="29" xfId="0" applyNumberFormat="1" applyFont="1" applyFill="1" applyBorder="1" applyAlignment="1">
      <alignment horizontal="left" vertical="center"/>
    </xf>
    <xf numFmtId="0" fontId="33" fillId="44" borderId="12" xfId="0" applyFont="1" applyFill="1" applyBorder="1"/>
    <xf numFmtId="166" fontId="33" fillId="44" borderId="12" xfId="0" applyNumberFormat="1" applyFont="1" applyFill="1" applyBorder="1"/>
    <xf numFmtId="166" fontId="0" fillId="44" borderId="12" xfId="0" applyNumberFormat="1" applyFill="1" applyBorder="1"/>
    <xf numFmtId="166" fontId="57" fillId="44" borderId="12" xfId="0" applyNumberFormat="1" applyFont="1" applyFill="1" applyBorder="1"/>
    <xf numFmtId="166" fontId="51" fillId="44" borderId="12" xfId="0" applyNumberFormat="1" applyFont="1" applyFill="1" applyBorder="1"/>
    <xf numFmtId="166" fontId="0" fillId="18" borderId="12" xfId="0" applyNumberFormat="1" applyFill="1" applyBorder="1" applyAlignment="1">
      <alignment horizontal="center"/>
    </xf>
    <xf numFmtId="166" fontId="29" fillId="18" borderId="12" xfId="0" applyNumberFormat="1" applyFont="1" applyFill="1" applyBorder="1"/>
    <xf numFmtId="166" fontId="132" fillId="18" borderId="12" xfId="0" applyNumberFormat="1" applyFont="1" applyFill="1" applyBorder="1"/>
    <xf numFmtId="9" fontId="49" fillId="24" borderId="18" xfId="22" applyFont="1" applyFill="1" applyBorder="1" applyAlignment="1">
      <alignment horizontal="left" vertical="center" wrapText="1"/>
    </xf>
    <xf numFmtId="166" fontId="135" fillId="24" borderId="12" xfId="0" applyNumberFormat="1" applyFont="1" applyFill="1" applyBorder="1" applyAlignment="1">
      <alignment horizontal="left" vertical="center"/>
    </xf>
    <xf numFmtId="49" fontId="48" fillId="0" borderId="25" xfId="0" applyNumberFormat="1" applyFont="1" applyBorder="1" applyAlignment="1">
      <alignment horizontal="left" vertical="center" wrapText="1"/>
    </xf>
    <xf numFmtId="166" fontId="51" fillId="31" borderId="12" xfId="0" applyNumberFormat="1" applyFont="1" applyFill="1" applyBorder="1"/>
    <xf numFmtId="0" fontId="51" fillId="46" borderId="12" xfId="0" applyFont="1" applyFill="1" applyBorder="1"/>
    <xf numFmtId="166" fontId="57" fillId="18" borderId="12" xfId="0" applyNumberFormat="1" applyFont="1" applyFill="1" applyBorder="1" applyAlignment="1">
      <alignment horizontal="center"/>
    </xf>
    <xf numFmtId="9" fontId="98" fillId="24" borderId="18" xfId="22" applyFont="1" applyFill="1" applyBorder="1" applyAlignment="1">
      <alignment horizontal="left" vertical="center" wrapText="1"/>
    </xf>
    <xf numFmtId="9" fontId="47" fillId="0" borderId="17" xfId="22" applyFont="1" applyFill="1" applyBorder="1" applyAlignment="1">
      <alignment horizontal="left" vertical="center" wrapText="1"/>
    </xf>
    <xf numFmtId="166" fontId="33" fillId="50" borderId="12" xfId="0" applyNumberFormat="1" applyFont="1" applyFill="1" applyBorder="1"/>
    <xf numFmtId="0" fontId="132" fillId="50" borderId="12" xfId="0" applyFont="1" applyFill="1" applyBorder="1"/>
    <xf numFmtId="0" fontId="57" fillId="0" borderId="12" xfId="0" applyFont="1" applyBorder="1"/>
    <xf numFmtId="0" fontId="78" fillId="0" borderId="12" xfId="0" applyFont="1" applyBorder="1"/>
    <xf numFmtId="166" fontId="29" fillId="41" borderId="12" xfId="0" applyNumberFormat="1" applyFont="1" applyFill="1" applyBorder="1"/>
    <xf numFmtId="0" fontId="29" fillId="41" borderId="12" xfId="0" applyFont="1" applyFill="1" applyBorder="1"/>
    <xf numFmtId="166" fontId="0" fillId="5" borderId="0" xfId="0" applyNumberFormat="1" applyFill="1"/>
    <xf numFmtId="166" fontId="51" fillId="46" borderId="12" xfId="0" applyNumberFormat="1" applyFont="1" applyFill="1" applyBorder="1"/>
    <xf numFmtId="166" fontId="33" fillId="0" borderId="12" xfId="0" applyNumberFormat="1" applyFont="1" applyBorder="1" applyAlignment="1">
      <alignment horizontal="right"/>
    </xf>
    <xf numFmtId="166" fontId="47" fillId="0" borderId="28" xfId="0" applyNumberFormat="1" applyFont="1" applyBorder="1" applyAlignment="1">
      <alignment vertical="center" wrapText="1"/>
    </xf>
    <xf numFmtId="166" fontId="57" fillId="0" borderId="12" xfId="0" applyNumberFormat="1" applyFont="1" applyBorder="1"/>
    <xf numFmtId="166" fontId="0" fillId="0" borderId="24" xfId="0" applyNumberFormat="1" applyBorder="1"/>
    <xf numFmtId="166" fontId="47" fillId="0" borderId="21" xfId="0" applyNumberFormat="1" applyFont="1" applyBorder="1" applyAlignment="1">
      <alignment horizontal="left" vertical="center"/>
    </xf>
    <xf numFmtId="166" fontId="78" fillId="48" borderId="12" xfId="0" applyNumberFormat="1" applyFont="1" applyFill="1" applyBorder="1"/>
    <xf numFmtId="0" fontId="51" fillId="48" borderId="12" xfId="0" applyFont="1" applyFill="1" applyBorder="1"/>
    <xf numFmtId="0" fontId="29" fillId="41" borderId="0" xfId="0" applyFont="1" applyFill="1"/>
    <xf numFmtId="166" fontId="29" fillId="41" borderId="0" xfId="0" applyNumberFormat="1" applyFont="1" applyFill="1"/>
    <xf numFmtId="166" fontId="47" fillId="0" borderId="29" xfId="0" applyNumberFormat="1" applyFont="1" applyBorder="1" applyAlignment="1">
      <alignment horizontal="left" vertical="center" wrapText="1"/>
    </xf>
    <xf numFmtId="166" fontId="47" fillId="0" borderId="13" xfId="0" applyNumberFormat="1" applyFont="1" applyBorder="1" applyAlignment="1">
      <alignment horizontal="left" vertical="center" wrapText="1"/>
    </xf>
    <xf numFmtId="9" fontId="47" fillId="0" borderId="29" xfId="22" applyFont="1" applyBorder="1" applyAlignment="1">
      <alignment horizontal="left" vertical="center" wrapText="1"/>
    </xf>
    <xf numFmtId="166" fontId="43" fillId="0" borderId="0" xfId="0" applyNumberFormat="1" applyFont="1" applyAlignment="1">
      <alignment horizontal="left" vertical="center"/>
    </xf>
    <xf numFmtId="0" fontId="101" fillId="0" borderId="0" xfId="0" applyFont="1" applyAlignment="1">
      <alignment vertical="center"/>
    </xf>
    <xf numFmtId="166" fontId="91" fillId="0" borderId="0" xfId="0" applyNumberFormat="1" applyFont="1" applyAlignment="1">
      <alignment horizontal="right" vertical="center"/>
    </xf>
    <xf numFmtId="0" fontId="33" fillId="19" borderId="12" xfId="0" applyFont="1" applyFill="1" applyBorder="1" applyAlignment="1">
      <alignment horizontal="left" vertical="center"/>
    </xf>
    <xf numFmtId="166" fontId="33" fillId="19" borderId="12" xfId="0" applyNumberFormat="1" applyFont="1" applyFill="1" applyBorder="1" applyAlignment="1">
      <alignment horizontal="left" vertical="center"/>
    </xf>
    <xf numFmtId="166" fontId="33" fillId="19" borderId="17" xfId="0" applyNumberFormat="1" applyFont="1" applyFill="1" applyBorder="1" applyAlignment="1">
      <alignment horizontal="left" vertical="center"/>
    </xf>
    <xf numFmtId="166" fontId="78" fillId="19" borderId="17" xfId="0" applyNumberFormat="1" applyFont="1" applyFill="1" applyBorder="1" applyAlignment="1">
      <alignment horizontal="left" vertical="center"/>
    </xf>
    <xf numFmtId="166" fontId="33" fillId="41" borderId="12" xfId="0" applyNumberFormat="1" applyFont="1" applyFill="1" applyBorder="1" applyAlignment="1">
      <alignment horizontal="left" vertical="center"/>
    </xf>
    <xf numFmtId="0" fontId="33" fillId="0" borderId="0" xfId="0" applyFont="1" applyAlignment="1">
      <alignment horizontal="left" vertical="center" wrapText="1"/>
    </xf>
    <xf numFmtId="49" fontId="48" fillId="24" borderId="17" xfId="0" applyNumberFormat="1" applyFont="1" applyFill="1" applyBorder="1" applyAlignment="1">
      <alignment horizontal="center" vertical="center" wrapText="1"/>
    </xf>
    <xf numFmtId="0" fontId="48" fillId="24" borderId="24" xfId="0" applyFont="1" applyFill="1" applyBorder="1" applyAlignment="1">
      <alignment horizontal="center" vertical="center"/>
    </xf>
    <xf numFmtId="0" fontId="48" fillId="24" borderId="12" xfId="0" applyFont="1" applyFill="1" applyBorder="1" applyAlignment="1">
      <alignment horizontal="center" vertical="center"/>
    </xf>
    <xf numFmtId="0" fontId="48" fillId="24" borderId="18" xfId="0" applyFont="1" applyFill="1" applyBorder="1" applyAlignment="1">
      <alignment horizontal="center" vertical="center"/>
    </xf>
    <xf numFmtId="0" fontId="85" fillId="0" borderId="17" xfId="0" applyFont="1" applyBorder="1" applyAlignment="1">
      <alignment horizontal="center" vertical="center" wrapText="1"/>
    </xf>
    <xf numFmtId="166" fontId="47" fillId="0" borderId="24" xfId="0" applyNumberFormat="1" applyFont="1" applyBorder="1" applyAlignment="1">
      <alignment horizontal="center" vertical="center"/>
    </xf>
    <xf numFmtId="166" fontId="47" fillId="0" borderId="36" xfId="0" applyNumberFormat="1" applyFont="1" applyBorder="1" applyAlignment="1">
      <alignment horizontal="center" vertical="center"/>
    </xf>
    <xf numFmtId="49" fontId="48" fillId="0" borderId="36" xfId="0" applyNumberFormat="1" applyFont="1" applyBorder="1" applyAlignment="1">
      <alignment horizontal="center" vertical="center" wrapText="1"/>
    </xf>
    <xf numFmtId="0" fontId="43" fillId="0" borderId="0" xfId="0" applyFont="1" applyAlignment="1">
      <alignment horizontal="center" vertical="center"/>
    </xf>
    <xf numFmtId="0" fontId="55" fillId="18" borderId="12" xfId="0" applyFont="1" applyFill="1" applyBorder="1" applyAlignment="1">
      <alignment horizontal="center" vertical="center"/>
    </xf>
    <xf numFmtId="0" fontId="48" fillId="0" borderId="79" xfId="0" applyFont="1" applyBorder="1" applyAlignment="1">
      <alignment horizontal="left" vertical="center"/>
    </xf>
    <xf numFmtId="0" fontId="48" fillId="0" borderId="33" xfId="0" applyFont="1" applyBorder="1" applyAlignment="1">
      <alignment horizontal="left" vertical="center"/>
    </xf>
    <xf numFmtId="0" fontId="47" fillId="15" borderId="15" xfId="0" applyFont="1" applyFill="1" applyBorder="1" applyAlignment="1">
      <alignment horizontal="left" vertical="center" wrapText="1"/>
    </xf>
    <xf numFmtId="0" fontId="48" fillId="0" borderId="24" xfId="0" applyFont="1" applyBorder="1" applyAlignment="1">
      <alignment horizontal="left" vertical="center"/>
    </xf>
    <xf numFmtId="166" fontId="48" fillId="0" borderId="12" xfId="0" applyNumberFormat="1" applyFont="1" applyBorder="1" applyAlignment="1">
      <alignment horizontal="justify" vertical="center"/>
    </xf>
    <xf numFmtId="49" fontId="48" fillId="0" borderId="12" xfId="0" applyNumberFormat="1" applyFont="1" applyBorder="1" applyAlignment="1">
      <alignment horizontal="justify" vertical="center" wrapText="1"/>
    </xf>
    <xf numFmtId="166" fontId="83" fillId="0" borderId="12" xfId="0" applyNumberFormat="1" applyFont="1" applyBorder="1" applyAlignment="1">
      <alignment horizontal="justify" vertical="center"/>
    </xf>
    <xf numFmtId="49" fontId="48" fillId="0" borderId="17" xfId="0" applyNumberFormat="1" applyFont="1" applyBorder="1" applyAlignment="1">
      <alignment horizontal="justify" vertical="center" wrapText="1"/>
    </xf>
    <xf numFmtId="49" fontId="48" fillId="0" borderId="18" xfId="0" applyNumberFormat="1" applyFont="1" applyBorder="1" applyAlignment="1">
      <alignment horizontal="justify" vertical="center" wrapText="1"/>
    </xf>
    <xf numFmtId="0" fontId="29" fillId="0" borderId="0" xfId="0" applyFont="1" applyAlignment="1">
      <alignment horizontal="justify" vertical="center"/>
    </xf>
    <xf numFmtId="0" fontId="48" fillId="0" borderId="0" xfId="0" applyFont="1" applyAlignment="1">
      <alignment horizontal="justify" vertical="center"/>
    </xf>
    <xf numFmtId="0" fontId="33" fillId="0" borderId="0" xfId="0" applyFont="1" applyAlignment="1">
      <alignment horizontal="justify" vertical="center"/>
    </xf>
    <xf numFmtId="0" fontId="47" fillId="23" borderId="12" xfId="0" applyFont="1" applyFill="1" applyBorder="1" applyAlignment="1">
      <alignment horizontal="justify" vertical="center" wrapText="1"/>
    </xf>
    <xf numFmtId="49" fontId="47" fillId="0" borderId="20" xfId="0" applyNumberFormat="1" applyFont="1" applyBorder="1" applyAlignment="1">
      <alignment horizontal="justify" vertical="center" wrapText="1"/>
    </xf>
    <xf numFmtId="49" fontId="47" fillId="0" borderId="18" xfId="0" applyNumberFormat="1" applyFont="1" applyBorder="1" applyAlignment="1">
      <alignment horizontal="justify" vertical="center" wrapText="1"/>
    </xf>
    <xf numFmtId="0" fontId="96" fillId="24" borderId="12" xfId="0" applyFont="1" applyFill="1" applyBorder="1" applyAlignment="1">
      <alignment horizontal="justify" vertical="center" wrapText="1"/>
    </xf>
    <xf numFmtId="0" fontId="47" fillId="23" borderId="18" xfId="0" applyFont="1" applyFill="1" applyBorder="1" applyAlignment="1">
      <alignment horizontal="justify" vertical="center" wrapText="1"/>
    </xf>
    <xf numFmtId="0" fontId="96" fillId="24" borderId="9" xfId="0" applyFont="1" applyFill="1" applyBorder="1" applyAlignment="1">
      <alignment horizontal="justify" vertical="center" wrapText="1"/>
    </xf>
    <xf numFmtId="0" fontId="49" fillId="24" borderId="9" xfId="0" applyFont="1" applyFill="1" applyBorder="1" applyAlignment="1">
      <alignment horizontal="justify" vertical="center" wrapText="1"/>
    </xf>
    <xf numFmtId="0" fontId="96" fillId="24" borderId="7" xfId="0" applyFont="1" applyFill="1" applyBorder="1" applyAlignment="1">
      <alignment horizontal="justify" vertical="center" wrapText="1"/>
    </xf>
    <xf numFmtId="0" fontId="96" fillId="24" borderId="16" xfId="0" applyFont="1" applyFill="1" applyBorder="1" applyAlignment="1">
      <alignment horizontal="justify" vertical="center" wrapText="1"/>
    </xf>
    <xf numFmtId="0" fontId="96" fillId="24" borderId="18" xfId="0" applyFont="1" applyFill="1" applyBorder="1" applyAlignment="1">
      <alignment horizontal="justify" vertical="center" wrapText="1"/>
    </xf>
    <xf numFmtId="0" fontId="96" fillId="24" borderId="17" xfId="0" applyFont="1" applyFill="1" applyBorder="1" applyAlignment="1">
      <alignment horizontal="justify" vertical="center" wrapText="1"/>
    </xf>
    <xf numFmtId="0" fontId="96" fillId="24" borderId="20" xfId="0" applyFont="1" applyFill="1" applyBorder="1" applyAlignment="1">
      <alignment horizontal="justify" vertical="center" wrapText="1"/>
    </xf>
    <xf numFmtId="0" fontId="48" fillId="24" borderId="6" xfId="0" applyFont="1" applyFill="1" applyBorder="1" applyAlignment="1">
      <alignment horizontal="justify" vertical="center" wrapText="1"/>
    </xf>
    <xf numFmtId="0" fontId="47" fillId="22" borderId="12" xfId="0" applyFont="1" applyFill="1" applyBorder="1" applyAlignment="1">
      <alignment horizontal="justify" vertical="center" wrapText="1"/>
    </xf>
    <xf numFmtId="0" fontId="60" fillId="0" borderId="0" xfId="0" applyFont="1" applyAlignment="1">
      <alignment horizontal="justify" vertical="center"/>
    </xf>
    <xf numFmtId="0" fontId="85" fillId="23" borderId="12" xfId="0" applyFont="1" applyFill="1" applyBorder="1" applyAlignment="1">
      <alignment horizontal="justify" vertical="center" wrapText="1"/>
    </xf>
    <xf numFmtId="49" fontId="47" fillId="23" borderId="12" xfId="0" applyNumberFormat="1" applyFont="1" applyFill="1" applyBorder="1" applyAlignment="1">
      <alignment horizontal="justify" vertical="center" wrapText="1"/>
    </xf>
    <xf numFmtId="49" fontId="47" fillId="0" borderId="12" xfId="0" applyNumberFormat="1" applyFont="1" applyBorder="1" applyAlignment="1">
      <alignment horizontal="justify" vertical="center" wrapText="1"/>
    </xf>
    <xf numFmtId="0" fontId="96" fillId="25" borderId="9" xfId="0" applyFont="1" applyFill="1" applyBorder="1" applyAlignment="1">
      <alignment horizontal="justify" vertical="center" wrapText="1"/>
    </xf>
    <xf numFmtId="0" fontId="96" fillId="25" borderId="6" xfId="0" applyFont="1" applyFill="1" applyBorder="1" applyAlignment="1">
      <alignment horizontal="justify" vertical="center" wrapText="1"/>
    </xf>
    <xf numFmtId="0" fontId="96" fillId="25" borderId="7" xfId="0" applyFont="1" applyFill="1" applyBorder="1" applyAlignment="1">
      <alignment horizontal="justify" vertical="center" wrapText="1"/>
    </xf>
    <xf numFmtId="0" fontId="96" fillId="25" borderId="12" xfId="0" applyFont="1" applyFill="1" applyBorder="1" applyAlignment="1">
      <alignment horizontal="justify" vertical="center" wrapText="1"/>
    </xf>
    <xf numFmtId="0" fontId="47" fillId="22" borderId="18" xfId="0" applyFont="1" applyFill="1" applyBorder="1" applyAlignment="1">
      <alignment horizontal="justify" vertical="center" wrapText="1"/>
    </xf>
    <xf numFmtId="49" fontId="96" fillId="25" borderId="18" xfId="0" applyNumberFormat="1" applyFont="1" applyFill="1" applyBorder="1" applyAlignment="1">
      <alignment horizontal="justify" vertical="center" wrapText="1"/>
    </xf>
    <xf numFmtId="49" fontId="47" fillId="22" borderId="18" xfId="0" applyNumberFormat="1" applyFont="1" applyFill="1" applyBorder="1" applyAlignment="1">
      <alignment horizontal="justify" vertical="center" wrapText="1"/>
    </xf>
    <xf numFmtId="0" fontId="59" fillId="0" borderId="0" xfId="0" applyFont="1" applyAlignment="1">
      <alignment horizontal="justify" vertical="center"/>
    </xf>
    <xf numFmtId="49" fontId="60" fillId="0" borderId="0" xfId="0" applyNumberFormat="1" applyFont="1" applyAlignment="1">
      <alignment horizontal="justify" vertical="center"/>
    </xf>
    <xf numFmtId="0" fontId="59" fillId="0" borderId="0" xfId="0" applyFont="1" applyAlignment="1">
      <alignment horizontal="justify" vertical="center" wrapText="1"/>
    </xf>
    <xf numFmtId="0" fontId="83" fillId="0" borderId="0" xfId="0" applyFont="1" applyAlignment="1">
      <alignment horizontal="justify" vertical="center" wrapText="1"/>
    </xf>
    <xf numFmtId="0" fontId="99" fillId="0" borderId="0" xfId="0" applyFont="1" applyAlignment="1">
      <alignment horizontal="justify" vertical="center" wrapText="1"/>
    </xf>
    <xf numFmtId="0" fontId="61" fillId="0" borderId="0" xfId="0" applyFont="1" applyAlignment="1">
      <alignment horizontal="justify" vertical="center" wrapText="1"/>
    </xf>
    <xf numFmtId="166" fontId="96" fillId="24" borderId="18" xfId="0" applyNumberFormat="1" applyFont="1" applyFill="1" applyBorder="1" applyAlignment="1">
      <alignment horizontal="justify" vertical="center"/>
    </xf>
    <xf numFmtId="0" fontId="96" fillId="24" borderId="18" xfId="0" applyFont="1" applyFill="1" applyBorder="1" applyAlignment="1">
      <alignment horizontal="justify" vertical="center"/>
    </xf>
    <xf numFmtId="0" fontId="96" fillId="24" borderId="29" xfId="0" applyFont="1" applyFill="1" applyBorder="1" applyAlignment="1">
      <alignment horizontal="justify" vertical="center"/>
    </xf>
    <xf numFmtId="49" fontId="49" fillId="24" borderId="18" xfId="0" applyNumberFormat="1" applyFont="1" applyFill="1" applyBorder="1" applyAlignment="1">
      <alignment horizontal="justify" vertical="center" wrapText="1"/>
    </xf>
    <xf numFmtId="166" fontId="96" fillId="24" borderId="12" xfId="0" applyNumberFormat="1" applyFont="1" applyFill="1" applyBorder="1" applyAlignment="1">
      <alignment horizontal="justify" vertical="center"/>
    </xf>
    <xf numFmtId="0" fontId="96" fillId="24" borderId="12" xfId="0" applyFont="1" applyFill="1" applyBorder="1" applyAlignment="1">
      <alignment horizontal="justify" vertical="center"/>
    </xf>
    <xf numFmtId="0" fontId="96" fillId="24" borderId="13" xfId="0" applyFont="1" applyFill="1" applyBorder="1" applyAlignment="1">
      <alignment horizontal="justify" vertical="center"/>
    </xf>
    <xf numFmtId="49" fontId="49" fillId="24" borderId="12" xfId="0" applyNumberFormat="1" applyFont="1" applyFill="1" applyBorder="1" applyAlignment="1">
      <alignment horizontal="justify" vertical="center" wrapText="1"/>
    </xf>
    <xf numFmtId="166" fontId="96" fillId="24" borderId="17" xfId="0" applyNumberFormat="1" applyFont="1" applyFill="1" applyBorder="1" applyAlignment="1">
      <alignment horizontal="justify" vertical="center"/>
    </xf>
    <xf numFmtId="0" fontId="96" fillId="24" borderId="17" xfId="0" applyFont="1" applyFill="1" applyBorder="1" applyAlignment="1">
      <alignment horizontal="justify" vertical="center"/>
    </xf>
    <xf numFmtId="49" fontId="49" fillId="24" borderId="17" xfId="0" applyNumberFormat="1" applyFont="1" applyFill="1" applyBorder="1" applyAlignment="1">
      <alignment horizontal="justify" vertical="center" wrapText="1"/>
    </xf>
    <xf numFmtId="49" fontId="48" fillId="0" borderId="20" xfId="0" applyNumberFormat="1" applyFont="1" applyBorder="1" applyAlignment="1">
      <alignment horizontal="justify" vertical="center" wrapText="1"/>
    </xf>
    <xf numFmtId="49" fontId="47" fillId="0" borderId="17" xfId="0" applyNumberFormat="1" applyFont="1" applyBorder="1" applyAlignment="1">
      <alignment horizontal="justify" vertical="center" wrapText="1"/>
    </xf>
    <xf numFmtId="166" fontId="48" fillId="23" borderId="18" xfId="0" applyNumberFormat="1" applyFont="1" applyFill="1" applyBorder="1" applyAlignment="1">
      <alignment horizontal="justify" vertical="center" wrapText="1"/>
    </xf>
    <xf numFmtId="49" fontId="47" fillId="23" borderId="17" xfId="0" applyNumberFormat="1" applyFont="1" applyFill="1" applyBorder="1" applyAlignment="1">
      <alignment horizontal="justify" vertical="center" wrapText="1"/>
    </xf>
    <xf numFmtId="49" fontId="47" fillId="23" borderId="23" xfId="0" applyNumberFormat="1" applyFont="1" applyFill="1" applyBorder="1" applyAlignment="1">
      <alignment horizontal="justify" vertical="center" wrapText="1"/>
    </xf>
    <xf numFmtId="166" fontId="48" fillId="24" borderId="12" xfId="0" applyNumberFormat="1" applyFont="1" applyFill="1" applyBorder="1" applyAlignment="1">
      <alignment horizontal="justify" vertical="center"/>
    </xf>
    <xf numFmtId="0" fontId="48" fillId="24" borderId="12" xfId="0" applyFont="1" applyFill="1" applyBorder="1" applyAlignment="1">
      <alignment horizontal="justify" vertical="center"/>
    </xf>
    <xf numFmtId="0" fontId="48" fillId="24" borderId="13" xfId="0" applyFont="1" applyFill="1" applyBorder="1" applyAlignment="1">
      <alignment horizontal="justify" vertical="center"/>
    </xf>
    <xf numFmtId="49" fontId="48" fillId="24" borderId="12" xfId="0" applyNumberFormat="1" applyFont="1" applyFill="1" applyBorder="1" applyAlignment="1">
      <alignment horizontal="justify" vertical="center" wrapText="1"/>
    </xf>
    <xf numFmtId="166" fontId="47" fillId="24" borderId="12" xfId="0" applyNumberFormat="1" applyFont="1" applyFill="1" applyBorder="1" applyAlignment="1">
      <alignment horizontal="justify" vertical="center"/>
    </xf>
    <xf numFmtId="166" fontId="47" fillId="23" borderId="12" xfId="0" applyNumberFormat="1" applyFont="1" applyFill="1" applyBorder="1" applyAlignment="1">
      <alignment horizontal="justify" vertical="center" wrapText="1"/>
    </xf>
    <xf numFmtId="49" fontId="47" fillId="23" borderId="18" xfId="0" applyNumberFormat="1" applyFont="1" applyFill="1" applyBorder="1" applyAlignment="1">
      <alignment horizontal="justify" vertical="center" wrapText="1"/>
    </xf>
    <xf numFmtId="9" fontId="47" fillId="23" borderId="18" xfId="22" applyFont="1" applyFill="1" applyBorder="1" applyAlignment="1">
      <alignment horizontal="justify" vertical="center" wrapText="1"/>
    </xf>
    <xf numFmtId="166" fontId="96" fillId="24" borderId="12" xfId="0" applyNumberFormat="1" applyFont="1" applyFill="1" applyBorder="1" applyAlignment="1">
      <alignment horizontal="justify" vertical="center" wrapText="1"/>
    </xf>
    <xf numFmtId="49" fontId="100" fillId="24" borderId="12" xfId="0" applyNumberFormat="1" applyFont="1" applyFill="1" applyBorder="1" applyAlignment="1">
      <alignment horizontal="justify" vertical="center" wrapText="1"/>
    </xf>
    <xf numFmtId="49" fontId="96" fillId="24" borderId="12" xfId="0" applyNumberFormat="1" applyFont="1" applyFill="1" applyBorder="1" applyAlignment="1">
      <alignment horizontal="justify" vertical="center" wrapText="1"/>
    </xf>
    <xf numFmtId="166" fontId="96" fillId="24" borderId="17" xfId="0" applyNumberFormat="1" applyFont="1" applyFill="1" applyBorder="1" applyAlignment="1">
      <alignment horizontal="justify" vertical="center" wrapText="1"/>
    </xf>
    <xf numFmtId="49" fontId="100" fillId="24" borderId="17" xfId="0" applyNumberFormat="1" applyFont="1" applyFill="1" applyBorder="1" applyAlignment="1">
      <alignment horizontal="justify" vertical="center" wrapText="1"/>
    </xf>
    <xf numFmtId="49" fontId="96" fillId="24" borderId="17" xfId="0" applyNumberFormat="1" applyFont="1" applyFill="1" applyBorder="1" applyAlignment="1">
      <alignment horizontal="justify" vertical="center" wrapText="1"/>
    </xf>
    <xf numFmtId="166" fontId="98" fillId="24" borderId="12" xfId="0" applyNumberFormat="1" applyFont="1" applyFill="1" applyBorder="1" applyAlignment="1">
      <alignment horizontal="justify" vertical="center" wrapText="1"/>
    </xf>
    <xf numFmtId="166" fontId="48" fillId="23" borderId="12" xfId="0" applyNumberFormat="1" applyFont="1" applyFill="1" applyBorder="1" applyAlignment="1">
      <alignment horizontal="justify" vertical="center" wrapText="1"/>
    </xf>
    <xf numFmtId="0" fontId="47" fillId="23" borderId="12" xfId="0" applyFont="1" applyFill="1" applyBorder="1" applyAlignment="1">
      <alignment horizontal="justify" vertical="center"/>
    </xf>
    <xf numFmtId="0" fontId="48" fillId="0" borderId="20" xfId="0" applyFont="1" applyBorder="1" applyAlignment="1">
      <alignment horizontal="justify" vertical="center"/>
    </xf>
    <xf numFmtId="166" fontId="96" fillId="24" borderId="18" xfId="0" applyNumberFormat="1" applyFont="1" applyFill="1" applyBorder="1" applyAlignment="1">
      <alignment horizontal="justify" vertical="center" wrapText="1"/>
    </xf>
    <xf numFmtId="49" fontId="96" fillId="24" borderId="18" xfId="0" applyNumberFormat="1" applyFont="1" applyFill="1" applyBorder="1" applyAlignment="1">
      <alignment horizontal="justify" vertical="center" wrapText="1"/>
    </xf>
    <xf numFmtId="166" fontId="96" fillId="27" borderId="12" xfId="0" applyNumberFormat="1" applyFont="1" applyFill="1" applyBorder="1" applyAlignment="1">
      <alignment horizontal="justify" vertical="center" wrapText="1"/>
    </xf>
    <xf numFmtId="0" fontId="49" fillId="24" borderId="12" xfId="0" applyFont="1" applyFill="1" applyBorder="1" applyAlignment="1">
      <alignment horizontal="justify" vertical="center"/>
    </xf>
    <xf numFmtId="166" fontId="96" fillId="27" borderId="17" xfId="0" applyNumberFormat="1" applyFont="1" applyFill="1" applyBorder="1" applyAlignment="1">
      <alignment horizontal="justify" vertical="center" wrapText="1"/>
    </xf>
    <xf numFmtId="0" fontId="49" fillId="24" borderId="17" xfId="0" applyFont="1" applyFill="1" applyBorder="1" applyAlignment="1">
      <alignment horizontal="justify" vertical="center"/>
    </xf>
    <xf numFmtId="49" fontId="96" fillId="0" borderId="20" xfId="0" applyNumberFormat="1" applyFont="1" applyBorder="1" applyAlignment="1">
      <alignment horizontal="justify" vertical="center" wrapText="1"/>
    </xf>
    <xf numFmtId="49" fontId="96" fillId="0" borderId="18" xfId="0" applyNumberFormat="1" applyFont="1" applyBorder="1" applyAlignment="1">
      <alignment horizontal="justify" vertical="center" wrapText="1"/>
    </xf>
    <xf numFmtId="49" fontId="96" fillId="24" borderId="20" xfId="0" applyNumberFormat="1" applyFont="1" applyFill="1" applyBorder="1" applyAlignment="1">
      <alignment horizontal="justify" vertical="center" wrapText="1"/>
    </xf>
    <xf numFmtId="0" fontId="96" fillId="24" borderId="20" xfId="0" applyFont="1" applyFill="1" applyBorder="1" applyAlignment="1">
      <alignment horizontal="justify" vertical="center"/>
    </xf>
    <xf numFmtId="166" fontId="83" fillId="23" borderId="12" xfId="0" applyNumberFormat="1" applyFont="1" applyFill="1" applyBorder="1" applyAlignment="1">
      <alignment horizontal="justify" vertical="center" wrapText="1"/>
    </xf>
    <xf numFmtId="166" fontId="48" fillId="24" borderId="18" xfId="0" applyNumberFormat="1" applyFont="1" applyFill="1" applyBorder="1" applyAlignment="1">
      <alignment horizontal="justify" vertical="center" wrapText="1"/>
    </xf>
    <xf numFmtId="49" fontId="47" fillId="24" borderId="18" xfId="0" applyNumberFormat="1" applyFont="1" applyFill="1" applyBorder="1" applyAlignment="1">
      <alignment horizontal="justify" vertical="center" wrapText="1"/>
    </xf>
    <xf numFmtId="49" fontId="48" fillId="24" borderId="18" xfId="0" applyNumberFormat="1" applyFont="1" applyFill="1" applyBorder="1" applyAlignment="1">
      <alignment horizontal="justify" vertical="center" wrapText="1"/>
    </xf>
    <xf numFmtId="49" fontId="48" fillId="24" borderId="29" xfId="0" applyNumberFormat="1" applyFont="1" applyFill="1" applyBorder="1" applyAlignment="1">
      <alignment horizontal="justify" vertical="center" wrapText="1"/>
    </xf>
    <xf numFmtId="0" fontId="47" fillId="23" borderId="13" xfId="0" applyFont="1" applyFill="1" applyBorder="1" applyAlignment="1">
      <alignment horizontal="justify" vertical="center"/>
    </xf>
    <xf numFmtId="0" fontId="48" fillId="0" borderId="12" xfId="0" applyFont="1" applyBorder="1" applyAlignment="1">
      <alignment horizontal="justify" vertical="center"/>
    </xf>
    <xf numFmtId="0" fontId="47" fillId="0" borderId="0" xfId="0" applyFont="1" applyAlignment="1">
      <alignment horizontal="justify" vertical="center" wrapText="1"/>
    </xf>
    <xf numFmtId="166" fontId="47" fillId="0" borderId="0" xfId="0" applyNumberFormat="1" applyFont="1" applyAlignment="1">
      <alignment horizontal="justify" vertical="center" wrapText="1"/>
    </xf>
    <xf numFmtId="166" fontId="84" fillId="0" borderId="0" xfId="0" applyNumberFormat="1" applyFont="1" applyAlignment="1">
      <alignment horizontal="justify" vertical="center" wrapText="1"/>
    </xf>
    <xf numFmtId="0" fontId="60" fillId="0" borderId="18" xfId="0" applyFont="1" applyBorder="1" applyAlignment="1">
      <alignment horizontal="justify" vertical="center"/>
    </xf>
    <xf numFmtId="0" fontId="60" fillId="0" borderId="12" xfId="0" applyFont="1" applyBorder="1" applyAlignment="1">
      <alignment horizontal="justify" vertical="center"/>
    </xf>
    <xf numFmtId="0" fontId="83" fillId="0" borderId="0" xfId="0" applyFont="1" applyAlignment="1">
      <alignment horizontal="justify" vertical="center"/>
    </xf>
    <xf numFmtId="0" fontId="47" fillId="0" borderId="0" xfId="0" applyFont="1" applyAlignment="1">
      <alignment horizontal="justify" vertical="center"/>
    </xf>
    <xf numFmtId="9" fontId="60" fillId="0" borderId="0" xfId="22" applyFont="1" applyAlignment="1">
      <alignment horizontal="justify" vertical="center"/>
    </xf>
    <xf numFmtId="0" fontId="63" fillId="0" borderId="0" xfId="0" applyFont="1" applyAlignment="1">
      <alignment horizontal="justify" vertical="center"/>
    </xf>
    <xf numFmtId="0" fontId="48" fillId="23" borderId="12" xfId="0" applyFont="1" applyFill="1" applyBorder="1" applyAlignment="1">
      <alignment horizontal="justify" vertical="center" textRotation="90" wrapText="1"/>
    </xf>
    <xf numFmtId="0" fontId="84" fillId="23" borderId="12" xfId="0" applyFont="1" applyFill="1" applyBorder="1" applyAlignment="1">
      <alignment horizontal="justify" vertical="center" wrapText="1"/>
    </xf>
    <xf numFmtId="9" fontId="84" fillId="23" borderId="12" xfId="22" applyFont="1" applyFill="1" applyBorder="1" applyAlignment="1">
      <alignment horizontal="justify" vertical="center" wrapText="1"/>
    </xf>
    <xf numFmtId="9" fontId="47" fillId="23" borderId="12" xfId="22" applyFont="1" applyFill="1" applyBorder="1" applyAlignment="1">
      <alignment horizontal="justify" vertical="center" wrapText="1"/>
    </xf>
    <xf numFmtId="166" fontId="84" fillId="23" borderId="12" xfId="0" applyNumberFormat="1" applyFont="1" applyFill="1" applyBorder="1" applyAlignment="1">
      <alignment horizontal="justify" vertical="center" wrapText="1"/>
    </xf>
    <xf numFmtId="49" fontId="48" fillId="0" borderId="12" xfId="0" applyNumberFormat="1" applyFont="1" applyBorder="1" applyAlignment="1">
      <alignment horizontal="justify" vertical="center"/>
    </xf>
    <xf numFmtId="166" fontId="84" fillId="0" borderId="12" xfId="0" applyNumberFormat="1" applyFont="1" applyBorder="1" applyAlignment="1">
      <alignment horizontal="justify" vertical="center"/>
    </xf>
    <xf numFmtId="9" fontId="84" fillId="0" borderId="12" xfId="22" applyFont="1" applyFill="1" applyBorder="1" applyAlignment="1">
      <alignment horizontal="justify" vertical="center" wrapText="1"/>
    </xf>
    <xf numFmtId="166" fontId="47" fillId="0" borderId="12" xfId="0" applyNumberFormat="1" applyFont="1" applyBorder="1" applyAlignment="1">
      <alignment horizontal="justify" vertical="center"/>
    </xf>
    <xf numFmtId="9" fontId="47" fillId="0" borderId="12" xfId="22" applyFont="1" applyBorder="1" applyAlignment="1">
      <alignment horizontal="justify" vertical="center"/>
    </xf>
    <xf numFmtId="166" fontId="47" fillId="0" borderId="12" xfId="0" applyNumberFormat="1" applyFont="1" applyBorder="1" applyAlignment="1">
      <alignment horizontal="justify" vertical="center" wrapText="1"/>
    </xf>
    <xf numFmtId="0" fontId="47" fillId="14" borderId="12" xfId="0" applyFont="1" applyFill="1" applyBorder="1" applyAlignment="1">
      <alignment horizontal="justify" vertical="center"/>
    </xf>
    <xf numFmtId="166" fontId="84" fillId="14" borderId="12" xfId="0" applyNumberFormat="1" applyFont="1" applyFill="1" applyBorder="1" applyAlignment="1">
      <alignment horizontal="justify" vertical="center"/>
    </xf>
    <xf numFmtId="9" fontId="84" fillId="14" borderId="12" xfId="22" applyFont="1" applyFill="1" applyBorder="1" applyAlignment="1">
      <alignment horizontal="justify" vertical="center" wrapText="1"/>
    </xf>
    <xf numFmtId="166" fontId="47" fillId="14" borderId="12" xfId="0" applyNumberFormat="1" applyFont="1" applyFill="1" applyBorder="1" applyAlignment="1">
      <alignment horizontal="justify" vertical="center"/>
    </xf>
    <xf numFmtId="9" fontId="47" fillId="14" borderId="12" xfId="22" applyFont="1" applyFill="1" applyBorder="1" applyAlignment="1">
      <alignment horizontal="justify" vertical="center"/>
    </xf>
    <xf numFmtId="0" fontId="48" fillId="0" borderId="34" xfId="0" applyFont="1" applyBorder="1" applyAlignment="1">
      <alignment horizontal="justify" vertical="center"/>
    </xf>
    <xf numFmtId="49" fontId="96" fillId="24" borderId="16" xfId="0" applyNumberFormat="1" applyFont="1" applyFill="1" applyBorder="1" applyAlignment="1">
      <alignment horizontal="justify" vertical="center"/>
    </xf>
    <xf numFmtId="0" fontId="96" fillId="24" borderId="9" xfId="0" applyFont="1" applyFill="1" applyBorder="1" applyAlignment="1">
      <alignment horizontal="justify" vertical="center"/>
    </xf>
    <xf numFmtId="166" fontId="100" fillId="26" borderId="18" xfId="0" applyNumberFormat="1" applyFont="1" applyFill="1" applyBorder="1" applyAlignment="1">
      <alignment horizontal="justify" vertical="center"/>
    </xf>
    <xf numFmtId="9" fontId="98" fillId="24" borderId="12" xfId="22" applyFont="1" applyFill="1" applyBorder="1" applyAlignment="1">
      <alignment horizontal="justify" vertical="center" wrapText="1"/>
    </xf>
    <xf numFmtId="166" fontId="100" fillId="24" borderId="18" xfId="0" applyNumberFormat="1" applyFont="1" applyFill="1" applyBorder="1" applyAlignment="1">
      <alignment horizontal="justify" vertical="center"/>
    </xf>
    <xf numFmtId="9" fontId="49" fillId="24" borderId="12" xfId="22" applyFont="1" applyFill="1" applyBorder="1" applyAlignment="1">
      <alignment horizontal="justify" vertical="center"/>
    </xf>
    <xf numFmtId="166" fontId="100" fillId="24" borderId="12" xfId="0" applyNumberFormat="1" applyFont="1" applyFill="1" applyBorder="1" applyAlignment="1">
      <alignment horizontal="justify" vertical="center"/>
    </xf>
    <xf numFmtId="166" fontId="96" fillId="24" borderId="79" xfId="0" applyNumberFormat="1" applyFont="1" applyFill="1" applyBorder="1" applyAlignment="1">
      <alignment horizontal="justify" vertical="center"/>
    </xf>
    <xf numFmtId="166" fontId="49" fillId="24" borderId="18" xfId="0" applyNumberFormat="1" applyFont="1" applyFill="1" applyBorder="1" applyAlignment="1">
      <alignment horizontal="justify" vertical="center"/>
    </xf>
    <xf numFmtId="49" fontId="96" fillId="24" borderId="37" xfId="0" applyNumberFormat="1" applyFont="1" applyFill="1" applyBorder="1" applyAlignment="1">
      <alignment horizontal="justify" vertical="center"/>
    </xf>
    <xf numFmtId="0" fontId="96" fillId="24" borderId="6" xfId="0" applyFont="1" applyFill="1" applyBorder="1" applyAlignment="1">
      <alignment horizontal="justify" vertical="center"/>
    </xf>
    <xf numFmtId="166" fontId="100" fillId="26" borderId="12" xfId="0" applyNumberFormat="1" applyFont="1" applyFill="1" applyBorder="1" applyAlignment="1">
      <alignment horizontal="justify" vertical="center"/>
    </xf>
    <xf numFmtId="166" fontId="96" fillId="24" borderId="10" xfId="0" applyNumberFormat="1" applyFont="1" applyFill="1" applyBorder="1" applyAlignment="1">
      <alignment horizontal="justify" vertical="center"/>
    </xf>
    <xf numFmtId="166" fontId="49" fillId="24" borderId="12" xfId="0" applyNumberFormat="1" applyFont="1" applyFill="1" applyBorder="1" applyAlignment="1">
      <alignment horizontal="justify" vertical="center"/>
    </xf>
    <xf numFmtId="0" fontId="96" fillId="25" borderId="7" xfId="0" applyFont="1" applyFill="1" applyBorder="1" applyAlignment="1">
      <alignment horizontal="justify" vertical="center" textRotation="90" wrapText="1"/>
    </xf>
    <xf numFmtId="0" fontId="96" fillId="25" borderId="16" xfId="0" applyFont="1" applyFill="1" applyBorder="1" applyAlignment="1">
      <alignment horizontal="justify" vertical="center" textRotation="90" wrapText="1"/>
    </xf>
    <xf numFmtId="0" fontId="96" fillId="25" borderId="12" xfId="0" applyFont="1" applyFill="1" applyBorder="1" applyAlignment="1">
      <alignment horizontal="justify" vertical="center" textRotation="90" wrapText="1"/>
    </xf>
    <xf numFmtId="0" fontId="96" fillId="24" borderId="11" xfId="0" applyFont="1" applyFill="1" applyBorder="1" applyAlignment="1">
      <alignment horizontal="justify" vertical="center"/>
    </xf>
    <xf numFmtId="166" fontId="96" fillId="24" borderId="0" xfId="0" applyNumberFormat="1" applyFont="1" applyFill="1" applyAlignment="1">
      <alignment horizontal="justify" vertical="center"/>
    </xf>
    <xf numFmtId="166" fontId="49" fillId="24" borderId="17" xfId="0" applyNumberFormat="1" applyFont="1" applyFill="1" applyBorder="1" applyAlignment="1">
      <alignment horizontal="justify" vertical="center"/>
    </xf>
    <xf numFmtId="0" fontId="48" fillId="0" borderId="6" xfId="0" applyFont="1" applyBorder="1" applyAlignment="1">
      <alignment horizontal="justify" vertical="center"/>
    </xf>
    <xf numFmtId="0" fontId="47" fillId="14" borderId="6" xfId="0" applyFont="1" applyFill="1" applyBorder="1" applyAlignment="1">
      <alignment horizontal="justify" vertical="center"/>
    </xf>
    <xf numFmtId="166" fontId="47" fillId="0" borderId="18" xfId="0" applyNumberFormat="1" applyFont="1" applyBorder="1" applyAlignment="1">
      <alignment horizontal="justify" vertical="center" wrapText="1"/>
    </xf>
    <xf numFmtId="166" fontId="84" fillId="0" borderId="0" xfId="0" applyNumberFormat="1" applyFont="1" applyAlignment="1">
      <alignment horizontal="justify" vertical="center"/>
    </xf>
    <xf numFmtId="166" fontId="47" fillId="0" borderId="8" xfId="0" applyNumberFormat="1" applyFont="1" applyBorder="1" applyAlignment="1">
      <alignment horizontal="justify" vertical="center"/>
    </xf>
    <xf numFmtId="0" fontId="47" fillId="14" borderId="7" xfId="0" applyFont="1" applyFill="1" applyBorder="1" applyAlignment="1">
      <alignment horizontal="justify" vertical="center"/>
    </xf>
    <xf numFmtId="166" fontId="84" fillId="14" borderId="17" xfId="0" applyNumberFormat="1" applyFont="1" applyFill="1" applyBorder="1" applyAlignment="1">
      <alignment horizontal="justify" vertical="center"/>
    </xf>
    <xf numFmtId="166" fontId="47" fillId="14" borderId="17" xfId="0" applyNumberFormat="1" applyFont="1" applyFill="1" applyBorder="1" applyAlignment="1">
      <alignment horizontal="justify" vertical="center"/>
    </xf>
    <xf numFmtId="166" fontId="47" fillId="0" borderId="13" xfId="0" applyNumberFormat="1" applyFont="1" applyBorder="1" applyAlignment="1">
      <alignment horizontal="justify" vertical="center"/>
    </xf>
    <xf numFmtId="166" fontId="47" fillId="14" borderId="13" xfId="0" applyNumberFormat="1" applyFont="1" applyFill="1" applyBorder="1" applyAlignment="1">
      <alignment horizontal="justify" vertical="center"/>
    </xf>
    <xf numFmtId="0" fontId="47" fillId="23" borderId="18" xfId="0" applyFont="1" applyFill="1" applyBorder="1" applyAlignment="1">
      <alignment horizontal="justify" vertical="center"/>
    </xf>
    <xf numFmtId="0" fontId="48" fillId="22" borderId="25" xfId="0" applyFont="1" applyFill="1" applyBorder="1" applyAlignment="1">
      <alignment horizontal="justify" vertical="center" textRotation="90" wrapText="1"/>
    </xf>
    <xf numFmtId="166" fontId="84" fillId="23" borderId="12" xfId="0" applyNumberFormat="1" applyFont="1" applyFill="1" applyBorder="1" applyAlignment="1">
      <alignment horizontal="justify" vertical="center"/>
    </xf>
    <xf numFmtId="166" fontId="47" fillId="23" borderId="12" xfId="0" applyNumberFormat="1" applyFont="1" applyFill="1" applyBorder="1" applyAlignment="1">
      <alignment horizontal="justify" vertical="center"/>
    </xf>
    <xf numFmtId="9" fontId="47" fillId="23" borderId="12" xfId="22" applyFont="1" applyFill="1" applyBorder="1" applyAlignment="1">
      <alignment horizontal="justify" vertical="center"/>
    </xf>
    <xf numFmtId="166" fontId="47" fillId="23" borderId="18" xfId="0" applyNumberFormat="1" applyFont="1" applyFill="1" applyBorder="1" applyAlignment="1">
      <alignment horizontal="justify" vertical="center"/>
    </xf>
    <xf numFmtId="0" fontId="48" fillId="0" borderId="9" xfId="0" applyFont="1" applyBorder="1" applyAlignment="1">
      <alignment horizontal="justify" vertical="center"/>
    </xf>
    <xf numFmtId="166" fontId="84" fillId="0" borderId="18" xfId="0" applyNumberFormat="1" applyFont="1" applyBorder="1" applyAlignment="1">
      <alignment horizontal="justify" vertical="center"/>
    </xf>
    <xf numFmtId="166" fontId="47" fillId="0" borderId="18" xfId="0" applyNumberFormat="1" applyFont="1" applyBorder="1" applyAlignment="1">
      <alignment horizontal="justify" vertical="center"/>
    </xf>
    <xf numFmtId="0" fontId="48" fillId="24" borderId="6" xfId="0" applyFont="1" applyFill="1" applyBorder="1" applyAlignment="1">
      <alignment horizontal="justify" vertical="center"/>
    </xf>
    <xf numFmtId="166" fontId="83" fillId="24" borderId="12" xfId="0" applyNumberFormat="1" applyFont="1" applyFill="1" applyBorder="1" applyAlignment="1">
      <alignment horizontal="justify" vertical="center"/>
    </xf>
    <xf numFmtId="9" fontId="84" fillId="24" borderId="12" xfId="22" applyFont="1" applyFill="1" applyBorder="1" applyAlignment="1">
      <alignment horizontal="justify" vertical="center" wrapText="1"/>
    </xf>
    <xf numFmtId="166" fontId="83" fillId="24" borderId="0" xfId="0" applyNumberFormat="1" applyFont="1" applyFill="1" applyAlignment="1">
      <alignment horizontal="justify" vertical="center"/>
    </xf>
    <xf numFmtId="166" fontId="48" fillId="24" borderId="8" xfId="0" applyNumberFormat="1" applyFont="1" applyFill="1" applyBorder="1" applyAlignment="1">
      <alignment horizontal="justify" vertical="center"/>
    </xf>
    <xf numFmtId="166" fontId="47" fillId="24" borderId="8" xfId="0" applyNumberFormat="1" applyFont="1" applyFill="1" applyBorder="1" applyAlignment="1">
      <alignment horizontal="justify" vertical="center"/>
    </xf>
    <xf numFmtId="166" fontId="47" fillId="0" borderId="10" xfId="0" applyNumberFormat="1" applyFont="1" applyBorder="1" applyAlignment="1">
      <alignment horizontal="justify" vertical="center"/>
    </xf>
    <xf numFmtId="0" fontId="48" fillId="14" borderId="6" xfId="0" applyFont="1" applyFill="1" applyBorder="1" applyAlignment="1">
      <alignment horizontal="justify" vertical="center"/>
    </xf>
    <xf numFmtId="166" fontId="86" fillId="0" borderId="12" xfId="0" applyNumberFormat="1" applyFont="1" applyBorder="1" applyAlignment="1">
      <alignment horizontal="justify" vertical="center"/>
    </xf>
    <xf numFmtId="166" fontId="47" fillId="0" borderId="11" xfId="0" applyNumberFormat="1" applyFont="1" applyBorder="1" applyAlignment="1">
      <alignment horizontal="justify" vertical="center"/>
    </xf>
    <xf numFmtId="0" fontId="48" fillId="0" borderId="68" xfId="0" applyFont="1" applyBorder="1" applyAlignment="1">
      <alignment horizontal="justify" vertical="center"/>
    </xf>
    <xf numFmtId="166" fontId="84" fillId="0" borderId="17" xfId="0" applyNumberFormat="1" applyFont="1" applyBorder="1" applyAlignment="1">
      <alignment horizontal="justify" vertical="center"/>
    </xf>
    <xf numFmtId="166" fontId="86" fillId="0" borderId="27" xfId="0" applyNumberFormat="1" applyFont="1" applyBorder="1" applyAlignment="1">
      <alignment horizontal="justify" vertical="center"/>
    </xf>
    <xf numFmtId="166" fontId="86" fillId="0" borderId="13" xfId="0" applyNumberFormat="1" applyFont="1" applyBorder="1" applyAlignment="1">
      <alignment horizontal="justify" vertical="center"/>
    </xf>
    <xf numFmtId="166" fontId="47" fillId="0" borderId="27" xfId="0" applyNumberFormat="1" applyFont="1" applyBorder="1" applyAlignment="1">
      <alignment horizontal="justify" vertical="center"/>
    </xf>
    <xf numFmtId="166" fontId="47" fillId="0" borderId="79" xfId="0" applyNumberFormat="1" applyFont="1" applyBorder="1" applyAlignment="1">
      <alignment horizontal="justify" vertical="center"/>
    </xf>
    <xf numFmtId="166" fontId="47" fillId="0" borderId="29" xfId="0" applyNumberFormat="1" applyFont="1" applyBorder="1" applyAlignment="1">
      <alignment horizontal="justify" vertical="center"/>
    </xf>
    <xf numFmtId="166" fontId="47" fillId="0" borderId="23" xfId="0" applyNumberFormat="1" applyFont="1" applyBorder="1" applyAlignment="1">
      <alignment horizontal="justify" vertical="center"/>
    </xf>
    <xf numFmtId="0" fontId="96" fillId="24" borderId="75" xfId="0" applyFont="1" applyFill="1" applyBorder="1" applyAlignment="1">
      <alignment horizontal="justify" vertical="center" textRotation="90" wrapText="1"/>
    </xf>
    <xf numFmtId="166" fontId="98" fillId="24" borderId="12" xfId="0" applyNumberFormat="1" applyFont="1" applyFill="1" applyBorder="1" applyAlignment="1">
      <alignment horizontal="justify" vertical="center"/>
    </xf>
    <xf numFmtId="166" fontId="96" fillId="24" borderId="27" xfId="0" applyNumberFormat="1" applyFont="1" applyFill="1" applyBorder="1" applyAlignment="1">
      <alignment horizontal="justify" vertical="center"/>
    </xf>
    <xf numFmtId="166" fontId="96" fillId="24" borderId="29" xfId="0" applyNumberFormat="1" applyFont="1" applyFill="1" applyBorder="1" applyAlignment="1">
      <alignment horizontal="justify" vertical="center"/>
    </xf>
    <xf numFmtId="166" fontId="96" fillId="24" borderId="13" xfId="0" applyNumberFormat="1" applyFont="1" applyFill="1" applyBorder="1" applyAlignment="1">
      <alignment horizontal="justify" vertical="center"/>
    </xf>
    <xf numFmtId="166" fontId="96" fillId="24" borderId="15" xfId="0" applyNumberFormat="1" applyFont="1" applyFill="1" applyBorder="1" applyAlignment="1">
      <alignment horizontal="justify" vertical="center"/>
    </xf>
    <xf numFmtId="166" fontId="47" fillId="24" borderId="18" xfId="0" applyNumberFormat="1" applyFont="1" applyFill="1" applyBorder="1" applyAlignment="1">
      <alignment horizontal="justify" vertical="center"/>
    </xf>
    <xf numFmtId="9" fontId="47" fillId="24" borderId="12" xfId="22" applyFont="1" applyFill="1" applyBorder="1" applyAlignment="1">
      <alignment horizontal="justify" vertical="center"/>
    </xf>
    <xf numFmtId="166" fontId="84" fillId="24" borderId="12" xfId="0" applyNumberFormat="1" applyFont="1" applyFill="1" applyBorder="1" applyAlignment="1">
      <alignment horizontal="justify" vertical="center"/>
    </xf>
    <xf numFmtId="166" fontId="48" fillId="0" borderId="30" xfId="0" applyNumberFormat="1" applyFont="1" applyBorder="1" applyAlignment="1">
      <alignment horizontal="justify" vertical="center"/>
    </xf>
    <xf numFmtId="166" fontId="48" fillId="0" borderId="29" xfId="0" applyNumberFormat="1" applyFont="1" applyBorder="1" applyAlignment="1">
      <alignment horizontal="justify" vertical="center"/>
    </xf>
    <xf numFmtId="166" fontId="48" fillId="0" borderId="27" xfId="0" applyNumberFormat="1" applyFont="1" applyBorder="1" applyAlignment="1">
      <alignment horizontal="justify" vertical="center"/>
    </xf>
    <xf numFmtId="166" fontId="48" fillId="0" borderId="13" xfId="0" applyNumberFormat="1" applyFont="1" applyBorder="1" applyAlignment="1">
      <alignment horizontal="justify" vertical="center"/>
    </xf>
    <xf numFmtId="0" fontId="48" fillId="14" borderId="7" xfId="0" applyFont="1" applyFill="1" applyBorder="1" applyAlignment="1">
      <alignment horizontal="justify" vertical="center"/>
    </xf>
    <xf numFmtId="9" fontId="84" fillId="14" borderId="17" xfId="22" applyFont="1" applyFill="1" applyBorder="1" applyAlignment="1">
      <alignment horizontal="justify" vertical="center" wrapText="1"/>
    </xf>
    <xf numFmtId="166" fontId="47" fillId="24" borderId="17" xfId="0" applyNumberFormat="1" applyFont="1" applyFill="1" applyBorder="1" applyAlignment="1">
      <alignment horizontal="justify" vertical="center"/>
    </xf>
    <xf numFmtId="166" fontId="84" fillId="24" borderId="17" xfId="0" applyNumberFormat="1" applyFont="1" applyFill="1" applyBorder="1" applyAlignment="1">
      <alignment horizontal="justify" vertical="center"/>
    </xf>
    <xf numFmtId="166" fontId="48" fillId="24" borderId="17" xfId="0" applyNumberFormat="1" applyFont="1" applyFill="1" applyBorder="1" applyAlignment="1">
      <alignment horizontal="justify" vertical="center"/>
    </xf>
    <xf numFmtId="166" fontId="48" fillId="14" borderId="24" xfId="0" applyNumberFormat="1" applyFont="1" applyFill="1" applyBorder="1" applyAlignment="1">
      <alignment horizontal="justify" vertical="center"/>
    </xf>
    <xf numFmtId="166" fontId="48" fillId="14" borderId="17" xfId="0" applyNumberFormat="1" applyFont="1" applyFill="1" applyBorder="1" applyAlignment="1">
      <alignment horizontal="justify" vertical="center"/>
    </xf>
    <xf numFmtId="0" fontId="98" fillId="24" borderId="12" xfId="0" applyFont="1" applyFill="1" applyBorder="1" applyAlignment="1">
      <alignment horizontal="justify" vertical="center" textRotation="90" wrapText="1"/>
    </xf>
    <xf numFmtId="0" fontId="98" fillId="24" borderId="17" xfId="0" applyFont="1" applyFill="1" applyBorder="1" applyAlignment="1">
      <alignment horizontal="justify" vertical="center" textRotation="90" wrapText="1"/>
    </xf>
    <xf numFmtId="0" fontId="96" fillId="24" borderId="7" xfId="0" applyFont="1" applyFill="1" applyBorder="1" applyAlignment="1">
      <alignment horizontal="justify" vertical="center"/>
    </xf>
    <xf numFmtId="166" fontId="98" fillId="24" borderId="17" xfId="0" applyNumberFormat="1" applyFont="1" applyFill="1" applyBorder="1" applyAlignment="1">
      <alignment horizontal="justify" vertical="center"/>
    </xf>
    <xf numFmtId="9" fontId="98" fillId="24" borderId="17" xfId="22" applyFont="1" applyFill="1" applyBorder="1" applyAlignment="1">
      <alignment horizontal="justify" vertical="center" wrapText="1"/>
    </xf>
    <xf numFmtId="9" fontId="49" fillId="24" borderId="17" xfId="22" applyFont="1" applyFill="1" applyBorder="1" applyAlignment="1">
      <alignment horizontal="justify" vertical="center"/>
    </xf>
    <xf numFmtId="166" fontId="96" fillId="24" borderId="20" xfId="0" applyNumberFormat="1" applyFont="1" applyFill="1" applyBorder="1" applyAlignment="1">
      <alignment horizontal="justify" vertical="center"/>
    </xf>
    <xf numFmtId="9" fontId="49" fillId="24" borderId="18" xfId="22" applyFont="1" applyFill="1" applyBorder="1" applyAlignment="1">
      <alignment horizontal="justify" vertical="center"/>
    </xf>
    <xf numFmtId="166" fontId="98" fillId="24" borderId="18" xfId="0" applyNumberFormat="1" applyFont="1" applyFill="1" applyBorder="1" applyAlignment="1">
      <alignment horizontal="justify" vertical="center"/>
    </xf>
    <xf numFmtId="9" fontId="84" fillId="0" borderId="18" xfId="22" applyFont="1" applyFill="1" applyBorder="1" applyAlignment="1">
      <alignment horizontal="justify" vertical="center" wrapText="1"/>
    </xf>
    <xf numFmtId="9" fontId="47" fillId="0" borderId="18" xfId="22" applyFont="1" applyBorder="1" applyAlignment="1">
      <alignment horizontal="justify" vertical="center"/>
    </xf>
    <xf numFmtId="166" fontId="47" fillId="0" borderId="0" xfId="0" applyNumberFormat="1" applyFont="1" applyAlignment="1">
      <alignment horizontal="justify" vertical="center"/>
    </xf>
    <xf numFmtId="166" fontId="47" fillId="14" borderId="15" xfId="0" applyNumberFormat="1" applyFont="1" applyFill="1" applyBorder="1" applyAlignment="1">
      <alignment horizontal="justify" vertical="center"/>
    </xf>
    <xf numFmtId="0" fontId="47" fillId="14" borderId="17" xfId="0" applyFont="1" applyFill="1" applyBorder="1" applyAlignment="1">
      <alignment horizontal="justify" vertical="center"/>
    </xf>
    <xf numFmtId="0" fontId="48" fillId="0" borderId="22" xfId="0" applyFont="1" applyBorder="1" applyAlignment="1">
      <alignment horizontal="justify" vertical="center"/>
    </xf>
    <xf numFmtId="166" fontId="84" fillId="0" borderId="9" xfId="0" applyNumberFormat="1" applyFont="1" applyBorder="1" applyAlignment="1">
      <alignment horizontal="justify" vertical="center"/>
    </xf>
    <xf numFmtId="166" fontId="47" fillId="0" borderId="14" xfId="0" applyNumberFormat="1" applyFont="1" applyBorder="1" applyAlignment="1">
      <alignment horizontal="justify" vertical="center"/>
    </xf>
    <xf numFmtId="0" fontId="48" fillId="0" borderId="11" xfId="0" applyFont="1" applyBorder="1" applyAlignment="1">
      <alignment horizontal="justify" vertical="center"/>
    </xf>
    <xf numFmtId="0" fontId="48" fillId="0" borderId="26" xfId="0" applyFont="1" applyBorder="1" applyAlignment="1">
      <alignment horizontal="justify" vertical="center"/>
    </xf>
    <xf numFmtId="166" fontId="83" fillId="0" borderId="17" xfId="0" applyNumberFormat="1" applyFont="1" applyBorder="1" applyAlignment="1">
      <alignment horizontal="justify" vertical="center"/>
    </xf>
    <xf numFmtId="9" fontId="84" fillId="0" borderId="17" xfId="22" applyFont="1" applyFill="1" applyBorder="1" applyAlignment="1">
      <alignment horizontal="justify" vertical="center" wrapText="1"/>
    </xf>
    <xf numFmtId="166" fontId="48" fillId="0" borderId="23" xfId="0" applyNumberFormat="1" applyFont="1" applyBorder="1" applyAlignment="1">
      <alignment horizontal="justify" vertical="center"/>
    </xf>
    <xf numFmtId="166" fontId="47" fillId="0" borderId="33" xfId="0" applyNumberFormat="1" applyFont="1" applyBorder="1" applyAlignment="1">
      <alignment horizontal="justify" vertical="center"/>
    </xf>
    <xf numFmtId="166" fontId="47" fillId="0" borderId="17" xfId="0" applyNumberFormat="1" applyFont="1" applyBorder="1" applyAlignment="1">
      <alignment horizontal="justify" vertical="center"/>
    </xf>
    <xf numFmtId="0" fontId="96" fillId="24" borderId="30" xfId="0" applyFont="1" applyFill="1" applyBorder="1" applyAlignment="1">
      <alignment horizontal="justify" vertical="center" textRotation="90" wrapText="1"/>
    </xf>
    <xf numFmtId="0" fontId="96" fillId="24" borderId="27" xfId="0" applyFont="1" applyFill="1" applyBorder="1" applyAlignment="1">
      <alignment horizontal="justify" vertical="center" textRotation="90" wrapText="1"/>
    </xf>
    <xf numFmtId="0" fontId="49" fillId="27" borderId="12" xfId="0" applyFont="1" applyFill="1" applyBorder="1" applyAlignment="1">
      <alignment horizontal="justify" vertical="center"/>
    </xf>
    <xf numFmtId="166" fontId="100" fillId="27" borderId="12" xfId="0" applyNumberFormat="1" applyFont="1" applyFill="1" applyBorder="1" applyAlignment="1">
      <alignment horizontal="justify" vertical="center"/>
    </xf>
    <xf numFmtId="166" fontId="96" fillId="27" borderId="12" xfId="0" applyNumberFormat="1" applyFont="1" applyFill="1" applyBorder="1" applyAlignment="1">
      <alignment horizontal="justify" vertical="center"/>
    </xf>
    <xf numFmtId="166" fontId="98" fillId="27" borderId="12" xfId="0" applyNumberFormat="1" applyFont="1" applyFill="1" applyBorder="1" applyAlignment="1">
      <alignment horizontal="justify" vertical="center"/>
    </xf>
    <xf numFmtId="0" fontId="96" fillId="24" borderId="28" xfId="0" applyFont="1" applyFill="1" applyBorder="1" applyAlignment="1">
      <alignment horizontal="justify" vertical="center" textRotation="90" wrapText="1"/>
    </xf>
    <xf numFmtId="166" fontId="116" fillId="27" borderId="12" xfId="0" applyNumberFormat="1" applyFont="1" applyFill="1" applyBorder="1" applyAlignment="1">
      <alignment horizontal="justify" vertical="center"/>
    </xf>
    <xf numFmtId="166" fontId="49" fillId="0" borderId="12" xfId="0" applyNumberFormat="1" applyFont="1" applyBorder="1" applyAlignment="1">
      <alignment horizontal="justify" vertical="center"/>
    </xf>
    <xf numFmtId="9" fontId="96" fillId="0" borderId="12" xfId="22" applyFont="1" applyBorder="1" applyAlignment="1">
      <alignment horizontal="justify" vertical="center"/>
    </xf>
    <xf numFmtId="166" fontId="100" fillId="0" borderId="12" xfId="0" applyNumberFormat="1" applyFont="1" applyBorder="1" applyAlignment="1">
      <alignment horizontal="justify" vertical="center"/>
    </xf>
    <xf numFmtId="166" fontId="96" fillId="0" borderId="12" xfId="0" applyNumberFormat="1" applyFont="1" applyBorder="1" applyAlignment="1">
      <alignment horizontal="justify" vertical="center"/>
    </xf>
    <xf numFmtId="166" fontId="49" fillId="14" borderId="12" xfId="0" applyNumberFormat="1" applyFont="1" applyFill="1" applyBorder="1" applyAlignment="1">
      <alignment horizontal="justify" vertical="center"/>
    </xf>
    <xf numFmtId="9" fontId="96" fillId="14" borderId="12" xfId="22" applyFont="1" applyFill="1" applyBorder="1" applyAlignment="1">
      <alignment horizontal="justify" vertical="center"/>
    </xf>
    <xf numFmtId="166" fontId="100" fillId="14" borderId="12" xfId="0" applyNumberFormat="1" applyFont="1" applyFill="1" applyBorder="1" applyAlignment="1">
      <alignment horizontal="justify" vertical="center"/>
    </xf>
    <xf numFmtId="166" fontId="96" fillId="14" borderId="12" xfId="0" applyNumberFormat="1" applyFont="1" applyFill="1" applyBorder="1" applyAlignment="1">
      <alignment horizontal="justify" vertical="center"/>
    </xf>
    <xf numFmtId="9" fontId="49" fillId="0" borderId="12" xfId="22" applyFont="1" applyFill="1" applyBorder="1" applyAlignment="1">
      <alignment horizontal="justify" vertical="center"/>
    </xf>
    <xf numFmtId="9" fontId="49" fillId="14" borderId="12" xfId="22" applyFont="1" applyFill="1" applyBorder="1" applyAlignment="1">
      <alignment horizontal="justify" vertical="center"/>
    </xf>
    <xf numFmtId="0" fontId="96" fillId="24" borderId="38" xfId="0" applyFont="1" applyFill="1" applyBorder="1" applyAlignment="1">
      <alignment horizontal="justify" vertical="center" textRotation="90" wrapText="1"/>
    </xf>
    <xf numFmtId="9" fontId="96" fillId="24" borderId="12" xfId="22" applyFont="1" applyFill="1" applyBorder="1" applyAlignment="1">
      <alignment horizontal="justify" vertical="center" wrapText="1"/>
    </xf>
    <xf numFmtId="9" fontId="96" fillId="24" borderId="12" xfId="22" applyFont="1" applyFill="1" applyBorder="1" applyAlignment="1">
      <alignment horizontal="justify" vertical="center"/>
    </xf>
    <xf numFmtId="166" fontId="96" fillId="24" borderId="20" xfId="0" applyNumberFormat="1" applyFont="1" applyFill="1" applyBorder="1" applyAlignment="1">
      <alignment horizontal="justify" vertical="center" wrapText="1"/>
    </xf>
    <xf numFmtId="0" fontId="48" fillId="23" borderId="13" xfId="0" applyFont="1" applyFill="1" applyBorder="1" applyAlignment="1">
      <alignment horizontal="justify" vertical="center" textRotation="90" wrapText="1"/>
    </xf>
    <xf numFmtId="43" fontId="48" fillId="0" borderId="12" xfId="21" applyFont="1" applyFill="1" applyBorder="1" applyAlignment="1">
      <alignment horizontal="justify" vertical="center"/>
    </xf>
    <xf numFmtId="0" fontId="48" fillId="24" borderId="18" xfId="0" applyFont="1" applyFill="1" applyBorder="1" applyAlignment="1">
      <alignment horizontal="justify" vertical="center"/>
    </xf>
    <xf numFmtId="0" fontId="48" fillId="24" borderId="13" xfId="0" applyFont="1" applyFill="1" applyBorder="1" applyAlignment="1">
      <alignment horizontal="justify" vertical="center" textRotation="90" wrapText="1"/>
    </xf>
    <xf numFmtId="0" fontId="47" fillId="24" borderId="12" xfId="0" applyFont="1" applyFill="1" applyBorder="1" applyAlignment="1">
      <alignment horizontal="justify" vertical="center"/>
    </xf>
    <xf numFmtId="0" fontId="96" fillId="25" borderId="79" xfId="0" applyFont="1" applyFill="1" applyBorder="1" applyAlignment="1">
      <alignment horizontal="justify" vertical="center" textRotation="90" wrapText="1"/>
    </xf>
    <xf numFmtId="0" fontId="96" fillId="24" borderId="10" xfId="0" applyFont="1" applyFill="1" applyBorder="1" applyAlignment="1">
      <alignment horizontal="justify" vertical="center" textRotation="90" wrapText="1"/>
    </xf>
    <xf numFmtId="0" fontId="47" fillId="14" borderId="16" xfId="0" applyFont="1" applyFill="1" applyBorder="1" applyAlignment="1">
      <alignment horizontal="justify" vertical="center"/>
    </xf>
    <xf numFmtId="166" fontId="84" fillId="14" borderId="20" xfId="0" applyNumberFormat="1" applyFont="1" applyFill="1" applyBorder="1" applyAlignment="1">
      <alignment horizontal="justify" vertical="center"/>
    </xf>
    <xf numFmtId="9" fontId="84" fillId="14" borderId="18" xfId="22" applyFont="1" applyFill="1" applyBorder="1" applyAlignment="1">
      <alignment horizontal="justify" vertical="center" wrapText="1"/>
    </xf>
    <xf numFmtId="166" fontId="47" fillId="14" borderId="20" xfId="0" applyNumberFormat="1" applyFont="1" applyFill="1" applyBorder="1" applyAlignment="1">
      <alignment horizontal="justify" vertical="center"/>
    </xf>
    <xf numFmtId="0" fontId="48" fillId="11" borderId="12" xfId="0" applyFont="1" applyFill="1" applyBorder="1" applyAlignment="1">
      <alignment horizontal="justify" vertical="center"/>
    </xf>
    <xf numFmtId="0" fontId="84" fillId="12" borderId="12" xfId="0" applyFont="1" applyFill="1" applyBorder="1" applyAlignment="1">
      <alignment horizontal="justify" vertical="center" wrapText="1"/>
    </xf>
    <xf numFmtId="0" fontId="47" fillId="12" borderId="12" xfId="0" applyFont="1" applyFill="1" applyBorder="1" applyAlignment="1">
      <alignment horizontal="justify" vertical="center" wrapText="1"/>
    </xf>
    <xf numFmtId="9" fontId="47" fillId="12" borderId="12" xfId="22" applyFont="1" applyFill="1" applyBorder="1" applyAlignment="1">
      <alignment horizontal="justify" vertical="center" wrapText="1"/>
    </xf>
    <xf numFmtId="166" fontId="84" fillId="0" borderId="12" xfId="0" applyNumberFormat="1" applyFont="1" applyBorder="1" applyAlignment="1">
      <alignment horizontal="justify" vertical="center" wrapText="1"/>
    </xf>
    <xf numFmtId="9" fontId="47" fillId="0" borderId="12" xfId="22" applyFont="1" applyBorder="1" applyAlignment="1">
      <alignment horizontal="justify" vertical="center" wrapText="1"/>
    </xf>
    <xf numFmtId="9" fontId="47" fillId="14" borderId="12" xfId="22" applyFont="1" applyFill="1" applyBorder="1" applyAlignment="1">
      <alignment horizontal="justify" vertical="center" wrapText="1"/>
    </xf>
    <xf numFmtId="166" fontId="60" fillId="5" borderId="0" xfId="0" applyNumberFormat="1" applyFont="1" applyFill="1" applyAlignment="1">
      <alignment horizontal="justify" vertical="center"/>
    </xf>
    <xf numFmtId="9" fontId="60" fillId="5" borderId="0" xfId="22" applyFont="1" applyFill="1" applyAlignment="1">
      <alignment horizontal="justify" vertical="center"/>
    </xf>
    <xf numFmtId="166" fontId="63" fillId="5" borderId="0" xfId="0" applyNumberFormat="1" applyFont="1" applyFill="1" applyAlignment="1">
      <alignment horizontal="justify" vertical="center"/>
    </xf>
    <xf numFmtId="166" fontId="60" fillId="0" borderId="0" xfId="0" applyNumberFormat="1" applyFont="1" applyAlignment="1">
      <alignment horizontal="justify" vertical="center"/>
    </xf>
    <xf numFmtId="166" fontId="63" fillId="0" borderId="0" xfId="0" applyNumberFormat="1" applyFont="1" applyAlignment="1">
      <alignment horizontal="justify" vertical="center"/>
    </xf>
    <xf numFmtId="0" fontId="60" fillId="13" borderId="0" xfId="0" applyFont="1" applyFill="1" applyAlignment="1">
      <alignment horizontal="justify" vertical="center"/>
    </xf>
    <xf numFmtId="171" fontId="96" fillId="24" borderId="12" xfId="0" applyNumberFormat="1" applyFont="1" applyFill="1" applyBorder="1" applyAlignment="1">
      <alignment horizontal="left" vertical="center"/>
    </xf>
    <xf numFmtId="0" fontId="83" fillId="19" borderId="0" xfId="0" applyFont="1" applyFill="1" applyAlignment="1">
      <alignment horizontal="left" vertical="center"/>
    </xf>
    <xf numFmtId="166" fontId="91" fillId="19" borderId="0" xfId="0" applyNumberFormat="1" applyFont="1" applyFill="1" applyAlignment="1">
      <alignment horizontal="left" vertical="center"/>
    </xf>
    <xf numFmtId="0" fontId="63" fillId="0" borderId="0" xfId="0" applyFont="1" applyAlignment="1">
      <alignment horizontal="right" vertical="center"/>
    </xf>
    <xf numFmtId="0" fontId="60" fillId="19" borderId="0" xfId="0" applyFont="1" applyFill="1" applyAlignment="1">
      <alignment horizontal="left" vertical="center"/>
    </xf>
    <xf numFmtId="166" fontId="60" fillId="19" borderId="0" xfId="0" applyNumberFormat="1" applyFont="1" applyFill="1" applyAlignment="1">
      <alignment horizontal="left" vertical="center"/>
    </xf>
    <xf numFmtId="0" fontId="39" fillId="19" borderId="0" xfId="0" applyFont="1" applyFill="1"/>
    <xf numFmtId="166" fontId="39" fillId="19" borderId="0" xfId="0" applyNumberFormat="1" applyFont="1" applyFill="1"/>
    <xf numFmtId="0" fontId="33" fillId="19" borderId="0" xfId="0" applyFont="1" applyFill="1"/>
    <xf numFmtId="166" fontId="33" fillId="19" borderId="0" xfId="0" applyNumberFormat="1" applyFont="1" applyFill="1"/>
    <xf numFmtId="0" fontId="48" fillId="19" borderId="0" xfId="0" applyFont="1" applyFill="1" applyAlignment="1">
      <alignment horizontal="left" vertical="center"/>
    </xf>
    <xf numFmtId="0" fontId="39" fillId="19" borderId="0" xfId="0" applyFont="1" applyFill="1" applyAlignment="1">
      <alignment horizontal="right"/>
    </xf>
    <xf numFmtId="0" fontId="39" fillId="19" borderId="12" xfId="0" applyFont="1" applyFill="1" applyBorder="1"/>
    <xf numFmtId="0" fontId="39" fillId="19" borderId="12" xfId="0" applyFont="1" applyFill="1" applyBorder="1" applyAlignment="1">
      <alignment horizontal="right"/>
    </xf>
    <xf numFmtId="166" fontId="39" fillId="19" borderId="12" xfId="0" applyNumberFormat="1" applyFont="1" applyFill="1" applyBorder="1"/>
    <xf numFmtId="0" fontId="51" fillId="19" borderId="12" xfId="0" applyFont="1" applyFill="1" applyBorder="1"/>
    <xf numFmtId="0" fontId="33" fillId="19" borderId="12" xfId="0" applyFont="1" applyFill="1" applyBorder="1"/>
    <xf numFmtId="166" fontId="33" fillId="19" borderId="12" xfId="0" applyNumberFormat="1" applyFont="1" applyFill="1" applyBorder="1"/>
    <xf numFmtId="166" fontId="51" fillId="19" borderId="12" xfId="0" applyNumberFormat="1" applyFont="1" applyFill="1" applyBorder="1"/>
    <xf numFmtId="0" fontId="39" fillId="20" borderId="12" xfId="0" applyFont="1" applyFill="1" applyBorder="1"/>
    <xf numFmtId="166" fontId="39" fillId="20" borderId="12" xfId="0" applyNumberFormat="1" applyFont="1" applyFill="1" applyBorder="1"/>
    <xf numFmtId="166" fontId="48" fillId="19" borderId="0" xfId="0" applyNumberFormat="1" applyFont="1" applyFill="1" applyAlignment="1">
      <alignment horizontal="left" vertical="center"/>
    </xf>
    <xf numFmtId="0" fontId="83" fillId="0" borderId="0" xfId="0" applyFont="1" applyAlignment="1">
      <alignment horizontal="right" vertical="center"/>
    </xf>
    <xf numFmtId="0" fontId="136" fillId="19" borderId="0" xfId="0" applyFont="1" applyFill="1"/>
    <xf numFmtId="0" fontId="136" fillId="0" borderId="0" xfId="0" applyFont="1"/>
    <xf numFmtId="166" fontId="136" fillId="0" borderId="0" xfId="0" applyNumberFormat="1" applyFont="1"/>
    <xf numFmtId="166" fontId="136" fillId="31" borderId="0" xfId="0" applyNumberFormat="1" applyFont="1" applyFill="1"/>
    <xf numFmtId="166" fontId="136" fillId="19" borderId="0" xfId="0" applyNumberFormat="1" applyFont="1" applyFill="1"/>
    <xf numFmtId="166" fontId="92" fillId="0" borderId="12" xfId="0" applyNumberFormat="1" applyFont="1" applyBorder="1" applyAlignment="1">
      <alignment vertical="center"/>
    </xf>
    <xf numFmtId="0" fontId="136" fillId="0" borderId="0" xfId="0" applyFont="1" applyAlignment="1">
      <alignment horizontal="left" vertical="center"/>
    </xf>
    <xf numFmtId="0" fontId="137" fillId="0" borderId="0" xfId="0" applyFont="1" applyAlignment="1">
      <alignment horizontal="left" vertical="center"/>
    </xf>
    <xf numFmtId="166" fontId="136" fillId="0" borderId="0" xfId="0" applyNumberFormat="1" applyFont="1" applyAlignment="1">
      <alignment horizontal="left" vertical="center"/>
    </xf>
    <xf numFmtId="0" fontId="136" fillId="0" borderId="0" xfId="0" applyFont="1" applyAlignment="1">
      <alignment horizontal="justify" vertical="center"/>
    </xf>
    <xf numFmtId="0" fontId="136" fillId="5" borderId="0" xfId="0" applyFont="1" applyFill="1" applyAlignment="1">
      <alignment horizontal="justify" vertical="center"/>
    </xf>
    <xf numFmtId="166" fontId="136" fillId="5" borderId="0" xfId="0" applyNumberFormat="1" applyFont="1" applyFill="1" applyAlignment="1">
      <alignment horizontal="justify" vertical="center"/>
    </xf>
    <xf numFmtId="166" fontId="136" fillId="0" borderId="0" xfId="0" applyNumberFormat="1" applyFont="1" applyAlignment="1">
      <alignment horizontal="justify" vertical="center"/>
    </xf>
    <xf numFmtId="166" fontId="136" fillId="19" borderId="0" xfId="0" applyNumberFormat="1" applyFont="1" applyFill="1" applyAlignment="1">
      <alignment horizontal="justify" vertical="center"/>
    </xf>
    <xf numFmtId="166" fontId="138" fillId="0" borderId="0" xfId="0" applyNumberFormat="1" applyFont="1" applyAlignment="1">
      <alignment horizontal="justify" vertical="center"/>
    </xf>
    <xf numFmtId="166" fontId="138" fillId="0" borderId="0" xfId="0" applyNumberFormat="1" applyFont="1"/>
    <xf numFmtId="0" fontId="47" fillId="0" borderId="0" xfId="0" applyFont="1" applyAlignment="1">
      <alignment horizontal="center" vertical="center" wrapText="1"/>
    </xf>
    <xf numFmtId="0" fontId="33" fillId="0" borderId="0" xfId="0" applyFont="1" applyAlignment="1">
      <alignment horizontal="center" vertical="center"/>
    </xf>
    <xf numFmtId="167" fontId="81" fillId="0" borderId="0" xfId="0" applyNumberFormat="1" applyFont="1" applyAlignment="1">
      <alignment horizontal="left" vertical="center"/>
    </xf>
    <xf numFmtId="166" fontId="29" fillId="0" borderId="0" xfId="0" applyNumberFormat="1" applyFont="1" applyAlignment="1">
      <alignment horizontal="left" vertical="center"/>
    </xf>
    <xf numFmtId="166" fontId="81" fillId="0" borderId="0" xfId="0" applyNumberFormat="1" applyFont="1" applyAlignment="1">
      <alignment horizontal="left" vertical="center"/>
    </xf>
    <xf numFmtId="2" fontId="80" fillId="0" borderId="0" xfId="0" applyNumberFormat="1" applyFont="1" applyAlignment="1">
      <alignment horizontal="left" vertical="center"/>
    </xf>
    <xf numFmtId="166" fontId="80" fillId="0" borderId="0" xfId="0" applyNumberFormat="1" applyFont="1" applyAlignment="1">
      <alignment horizontal="left" vertical="center"/>
    </xf>
    <xf numFmtId="166" fontId="51" fillId="0" borderId="0" xfId="0" applyNumberFormat="1" applyFont="1" applyAlignment="1">
      <alignment horizontal="left" vertical="center"/>
    </xf>
    <xf numFmtId="166" fontId="29" fillId="5" borderId="0" xfId="0" applyNumberFormat="1" applyFont="1" applyFill="1" applyAlignment="1">
      <alignment horizontal="left" vertical="center"/>
    </xf>
    <xf numFmtId="166" fontId="33" fillId="5" borderId="0" xfId="0" applyNumberFormat="1" applyFont="1" applyFill="1" applyAlignment="1">
      <alignment horizontal="left" vertical="center"/>
    </xf>
    <xf numFmtId="0" fontId="70" fillId="0" borderId="0" xfId="0" applyFont="1" applyAlignment="1">
      <alignment horizontal="left" vertical="center"/>
    </xf>
    <xf numFmtId="0" fontId="56" fillId="0" borderId="0" xfId="0" applyFont="1" applyAlignment="1">
      <alignment horizontal="left" vertical="center"/>
    </xf>
    <xf numFmtId="0" fontId="33" fillId="0" borderId="59" xfId="0" applyFont="1" applyBorder="1" applyAlignment="1">
      <alignment horizontal="left" vertical="center"/>
    </xf>
    <xf numFmtId="0" fontId="39" fillId="0" borderId="58" xfId="0" applyFont="1" applyBorder="1" applyAlignment="1">
      <alignment horizontal="left" vertical="center"/>
    </xf>
    <xf numFmtId="0" fontId="33" fillId="0" borderId="60" xfId="0" applyFont="1" applyBorder="1" applyAlignment="1">
      <alignment horizontal="left" vertical="center"/>
    </xf>
    <xf numFmtId="0" fontId="33" fillId="0" borderId="61" xfId="0" applyFont="1" applyBorder="1" applyAlignment="1">
      <alignment horizontal="left" vertical="center"/>
    </xf>
    <xf numFmtId="166" fontId="33" fillId="0" borderId="61" xfId="0" applyNumberFormat="1" applyFont="1" applyBorder="1" applyAlignment="1">
      <alignment horizontal="left" vertical="center"/>
    </xf>
    <xf numFmtId="0" fontId="80" fillId="0" borderId="61" xfId="0" applyFont="1" applyBorder="1" applyAlignment="1">
      <alignment horizontal="left" vertical="center"/>
    </xf>
    <xf numFmtId="0" fontId="33" fillId="0" borderId="62" xfId="0" applyFont="1" applyBorder="1" applyAlignment="1">
      <alignment horizontal="left" vertical="center"/>
    </xf>
    <xf numFmtId="0" fontId="41" fillId="0" borderId="52" xfId="0" applyFont="1" applyBorder="1" applyAlignment="1">
      <alignment horizontal="left" vertical="center" wrapText="1"/>
    </xf>
    <xf numFmtId="166" fontId="39" fillId="0" borderId="52" xfId="0" quotePrefix="1" applyNumberFormat="1" applyFont="1" applyBorder="1" applyAlignment="1">
      <alignment horizontal="left" vertical="center" wrapText="1"/>
    </xf>
    <xf numFmtId="166" fontId="39" fillId="0" borderId="52" xfId="0" applyNumberFormat="1" applyFont="1" applyBorder="1" applyAlignment="1">
      <alignment horizontal="left" vertical="center" wrapText="1"/>
    </xf>
    <xf numFmtId="166" fontId="44" fillId="0" borderId="52" xfId="0" applyNumberFormat="1" applyFont="1" applyBorder="1" applyAlignment="1">
      <alignment horizontal="left" vertical="center" wrapText="1"/>
    </xf>
    <xf numFmtId="166" fontId="44" fillId="0" borderId="52" xfId="0" quotePrefix="1" applyNumberFormat="1" applyFont="1" applyBorder="1" applyAlignment="1">
      <alignment horizontal="left" vertical="center" wrapText="1"/>
    </xf>
    <xf numFmtId="0" fontId="38" fillId="0" borderId="52" xfId="0" applyFont="1" applyBorder="1" applyAlignment="1">
      <alignment horizontal="left" vertical="center" wrapText="1"/>
    </xf>
    <xf numFmtId="9" fontId="39" fillId="0" borderId="52" xfId="22" applyFont="1" applyBorder="1" applyAlignment="1">
      <alignment horizontal="left" vertical="center" wrapText="1"/>
    </xf>
    <xf numFmtId="166" fontId="45" fillId="0" borderId="52" xfId="0" applyNumberFormat="1" applyFont="1" applyBorder="1" applyAlignment="1">
      <alignment horizontal="left" vertical="center" wrapText="1"/>
    </xf>
    <xf numFmtId="0" fontId="39" fillId="0" borderId="52" xfId="0" applyFont="1" applyBorder="1" applyAlignment="1">
      <alignment horizontal="left" vertical="center" wrapText="1"/>
    </xf>
    <xf numFmtId="9" fontId="41" fillId="14" borderId="52" xfId="22" applyFont="1" applyFill="1" applyBorder="1" applyAlignment="1">
      <alignment horizontal="left" vertical="center" wrapText="1"/>
    </xf>
    <xf numFmtId="0" fontId="41" fillId="10" borderId="52" xfId="0" applyFont="1" applyFill="1" applyBorder="1" applyAlignment="1">
      <alignment horizontal="left" vertical="center" wrapText="1"/>
    </xf>
    <xf numFmtId="0" fontId="42" fillId="10" borderId="52" xfId="0" applyFont="1" applyFill="1" applyBorder="1" applyAlignment="1">
      <alignment horizontal="left" vertical="center" wrapText="1"/>
    </xf>
    <xf numFmtId="0" fontId="43" fillId="10" borderId="52" xfId="0" applyFont="1" applyFill="1" applyBorder="1" applyAlignment="1">
      <alignment horizontal="left" vertical="center" wrapText="1"/>
    </xf>
    <xf numFmtId="0" fontId="69" fillId="10" borderId="52" xfId="0" applyFont="1" applyFill="1" applyBorder="1" applyAlignment="1">
      <alignment horizontal="left" vertical="center" wrapText="1"/>
    </xf>
    <xf numFmtId="0" fontId="39" fillId="0" borderId="52" xfId="0" applyFont="1" applyBorder="1" applyAlignment="1">
      <alignment horizontal="left" vertical="center"/>
    </xf>
    <xf numFmtId="166" fontId="39" fillId="0" borderId="52" xfId="0" applyNumberFormat="1" applyFont="1" applyBorder="1" applyAlignment="1">
      <alignment horizontal="left" vertical="center"/>
    </xf>
    <xf numFmtId="9" fontId="39" fillId="0" borderId="52" xfId="22" applyFont="1" applyBorder="1" applyAlignment="1">
      <alignment horizontal="left" vertical="center"/>
    </xf>
    <xf numFmtId="166" fontId="45" fillId="0" borderId="52" xfId="0" applyNumberFormat="1" applyFont="1" applyBorder="1" applyAlignment="1">
      <alignment horizontal="left" vertical="center"/>
    </xf>
    <xf numFmtId="166" fontId="38" fillId="0" borderId="52" xfId="0" applyNumberFormat="1" applyFont="1" applyBorder="1" applyAlignment="1">
      <alignment horizontal="left" vertical="center"/>
    </xf>
    <xf numFmtId="166" fontId="40" fillId="0" borderId="52" xfId="0" applyNumberFormat="1" applyFont="1" applyBorder="1" applyAlignment="1">
      <alignment horizontal="left" vertical="center"/>
    </xf>
    <xf numFmtId="166" fontId="38" fillId="11" borderId="52" xfId="0" applyNumberFormat="1" applyFont="1" applyFill="1" applyBorder="1" applyAlignment="1">
      <alignment horizontal="left" vertical="center" wrapText="1"/>
    </xf>
    <xf numFmtId="166" fontId="40" fillId="11" borderId="52" xfId="0" applyNumberFormat="1" applyFont="1" applyFill="1" applyBorder="1" applyAlignment="1">
      <alignment horizontal="left" vertical="center" wrapText="1"/>
    </xf>
    <xf numFmtId="0" fontId="40" fillId="0" borderId="52" xfId="0" applyFont="1" applyBorder="1" applyAlignment="1">
      <alignment horizontal="left" vertical="center" wrapText="1"/>
    </xf>
    <xf numFmtId="9" fontId="39" fillId="0" borderId="52" xfId="22" quotePrefix="1" applyFont="1" applyBorder="1" applyAlignment="1">
      <alignment horizontal="left" vertical="center" wrapText="1"/>
    </xf>
    <xf numFmtId="166" fontId="45" fillId="0" borderId="52" xfId="0" quotePrefix="1" applyNumberFormat="1" applyFont="1" applyBorder="1" applyAlignment="1">
      <alignment horizontal="left" vertical="center" wrapText="1"/>
    </xf>
    <xf numFmtId="9" fontId="44" fillId="0" borderId="52" xfId="22" quotePrefix="1" applyFont="1" applyFill="1" applyBorder="1" applyAlignment="1">
      <alignment horizontal="left" vertical="center" wrapText="1"/>
    </xf>
    <xf numFmtId="166" fontId="50" fillId="0" borderId="52" xfId="0" quotePrefix="1" applyNumberFormat="1" applyFont="1" applyBorder="1" applyAlignment="1">
      <alignment horizontal="left" vertical="center" wrapText="1"/>
    </xf>
    <xf numFmtId="9" fontId="44" fillId="0" borderId="52" xfId="22" applyFont="1" applyFill="1" applyBorder="1" applyAlignment="1">
      <alignment horizontal="left" vertical="center" wrapText="1"/>
    </xf>
    <xf numFmtId="166" fontId="50" fillId="0" borderId="52" xfId="0" applyNumberFormat="1" applyFont="1" applyBorder="1" applyAlignment="1">
      <alignment horizontal="left" vertical="center" wrapText="1"/>
    </xf>
    <xf numFmtId="0" fontId="46" fillId="0" borderId="64" xfId="0" applyFont="1" applyBorder="1" applyAlignment="1">
      <alignment vertical="center"/>
    </xf>
    <xf numFmtId="0" fontId="0" fillId="0" borderId="64" xfId="0" applyBorder="1" applyAlignment="1">
      <alignment vertical="center"/>
    </xf>
    <xf numFmtId="0" fontId="31" fillId="0" borderId="91" xfId="0" applyFont="1" applyBorder="1" applyAlignment="1">
      <alignment vertical="center" wrapText="1"/>
    </xf>
    <xf numFmtId="0" fontId="66" fillId="0" borderId="91" xfId="0" applyFont="1" applyBorder="1" applyAlignment="1">
      <alignment vertical="center" wrapText="1"/>
    </xf>
    <xf numFmtId="0" fontId="43" fillId="14" borderId="91" xfId="0" applyFont="1" applyFill="1" applyBorder="1" applyAlignment="1">
      <alignment vertical="center"/>
    </xf>
    <xf numFmtId="0" fontId="67" fillId="0" borderId="91" xfId="0" applyFont="1" applyBorder="1" applyAlignment="1">
      <alignment vertical="center"/>
    </xf>
    <xf numFmtId="0" fontId="46" fillId="0" borderId="91" xfId="0" applyFont="1" applyBorder="1" applyAlignment="1">
      <alignment vertical="center"/>
    </xf>
    <xf numFmtId="0" fontId="38" fillId="14" borderId="91" xfId="0" applyFont="1" applyFill="1" applyBorder="1" applyAlignment="1">
      <alignment vertical="center"/>
    </xf>
    <xf numFmtId="0" fontId="46" fillId="0" borderId="93" xfId="0" applyFont="1" applyBorder="1" applyAlignment="1">
      <alignment vertical="center"/>
    </xf>
    <xf numFmtId="49" fontId="48" fillId="0" borderId="0" xfId="0" applyNumberFormat="1" applyFont="1" applyAlignment="1">
      <alignment vertical="center"/>
    </xf>
    <xf numFmtId="0" fontId="47" fillId="0" borderId="0" xfId="0" applyFont="1" applyAlignment="1">
      <alignment horizontal="center" vertical="center"/>
    </xf>
    <xf numFmtId="0" fontId="48" fillId="0" borderId="30" xfId="0" applyFont="1" applyBorder="1" applyAlignment="1">
      <alignment vertical="center"/>
    </xf>
    <xf numFmtId="166" fontId="49" fillId="24" borderId="18" xfId="0" applyNumberFormat="1" applyFont="1" applyFill="1" applyBorder="1" applyAlignment="1">
      <alignment horizontal="center" vertical="center"/>
    </xf>
    <xf numFmtId="166" fontId="49" fillId="24" borderId="17" xfId="0" applyNumberFormat="1" applyFont="1" applyFill="1" applyBorder="1" applyAlignment="1">
      <alignment horizontal="center" vertical="center"/>
    </xf>
    <xf numFmtId="166" fontId="49" fillId="24" borderId="12" xfId="0" applyNumberFormat="1" applyFont="1" applyFill="1" applyBorder="1" applyAlignment="1">
      <alignment horizontal="center" vertical="center" wrapText="1"/>
    </xf>
    <xf numFmtId="166" fontId="47" fillId="24" borderId="12" xfId="0" applyNumberFormat="1" applyFont="1" applyFill="1" applyBorder="1" applyAlignment="1">
      <alignment horizontal="center" vertical="center" wrapText="1"/>
    </xf>
    <xf numFmtId="166" fontId="49" fillId="24" borderId="25" xfId="0" applyNumberFormat="1" applyFont="1" applyFill="1" applyBorder="1" applyAlignment="1">
      <alignment horizontal="center" vertical="center" wrapText="1"/>
    </xf>
    <xf numFmtId="166" fontId="49" fillId="27" borderId="12" xfId="0" applyNumberFormat="1" applyFont="1" applyFill="1" applyBorder="1" applyAlignment="1">
      <alignment horizontal="center" vertical="center"/>
    </xf>
    <xf numFmtId="166" fontId="49" fillId="27" borderId="17" xfId="0" applyNumberFormat="1" applyFont="1" applyFill="1" applyBorder="1" applyAlignment="1">
      <alignment horizontal="center" vertical="center"/>
    </xf>
    <xf numFmtId="166" fontId="96" fillId="24" borderId="20" xfId="0" applyNumberFormat="1" applyFont="1" applyFill="1" applyBorder="1" applyAlignment="1">
      <alignment horizontal="center" vertical="center" wrapText="1"/>
    </xf>
    <xf numFmtId="166" fontId="84" fillId="23" borderId="12" xfId="0" applyNumberFormat="1" applyFont="1" applyFill="1" applyBorder="1" applyAlignment="1">
      <alignment horizontal="center" vertical="center"/>
    </xf>
    <xf numFmtId="166" fontId="84" fillId="0" borderId="13" xfId="0" applyNumberFormat="1" applyFont="1" applyBorder="1" applyAlignment="1">
      <alignment horizontal="justify" vertical="center"/>
    </xf>
    <xf numFmtId="166" fontId="83" fillId="24" borderId="21" xfId="0" applyNumberFormat="1" applyFont="1" applyFill="1" applyBorder="1" applyAlignment="1">
      <alignment horizontal="justify" vertical="center"/>
    </xf>
    <xf numFmtId="166" fontId="83" fillId="24" borderId="17" xfId="0" applyNumberFormat="1" applyFont="1" applyFill="1" applyBorder="1" applyAlignment="1">
      <alignment horizontal="justify" vertical="center"/>
    </xf>
    <xf numFmtId="166" fontId="47" fillId="0" borderId="52" xfId="0" applyNumberFormat="1" applyFont="1" applyBorder="1" applyAlignment="1">
      <alignment horizontal="justify" vertical="center"/>
    </xf>
    <xf numFmtId="166" fontId="98" fillId="0" borderId="12" xfId="0" applyNumberFormat="1" applyFont="1" applyBorder="1" applyAlignment="1">
      <alignment horizontal="justify" vertical="center"/>
    </xf>
    <xf numFmtId="9" fontId="98" fillId="0" borderId="12" xfId="22" applyFont="1" applyFill="1" applyBorder="1" applyAlignment="1">
      <alignment horizontal="justify" vertical="center" wrapText="1"/>
    </xf>
    <xf numFmtId="9" fontId="96" fillId="0" borderId="12" xfId="22" applyFont="1" applyFill="1" applyBorder="1" applyAlignment="1">
      <alignment horizontal="justify" vertical="center"/>
    </xf>
    <xf numFmtId="0" fontId="96" fillId="0" borderId="0" xfId="0" applyFont="1" applyAlignment="1">
      <alignment horizontal="justify" vertical="center"/>
    </xf>
    <xf numFmtId="0" fontId="32" fillId="0" borderId="0" xfId="0" applyFont="1" applyAlignment="1">
      <alignment horizontal="center" vertical="center" wrapText="1"/>
    </xf>
    <xf numFmtId="0" fontId="48" fillId="24" borderId="0" xfId="0" applyFont="1" applyFill="1" applyAlignment="1">
      <alignment horizontal="center" vertical="center"/>
    </xf>
    <xf numFmtId="0" fontId="96" fillId="24" borderId="12" xfId="0" applyFont="1" applyFill="1" applyBorder="1" applyAlignment="1">
      <alignment horizontal="center" vertical="center"/>
    </xf>
    <xf numFmtId="0" fontId="96" fillId="24" borderId="12" xfId="0" applyFont="1" applyFill="1" applyBorder="1" applyAlignment="1">
      <alignment horizontal="center" vertical="center" wrapText="1"/>
    </xf>
    <xf numFmtId="0" fontId="96" fillId="24" borderId="20" xfId="0" applyFont="1" applyFill="1" applyBorder="1" applyAlignment="1">
      <alignment horizontal="center" vertical="center" wrapText="1"/>
    </xf>
    <xf numFmtId="0" fontId="48" fillId="35" borderId="12" xfId="0" applyFont="1" applyFill="1" applyBorder="1" applyAlignment="1">
      <alignment horizontal="center" vertical="center"/>
    </xf>
    <xf numFmtId="0" fontId="48" fillId="41" borderId="18" xfId="0" applyFont="1" applyFill="1" applyBorder="1" applyAlignment="1">
      <alignment horizontal="center" vertical="center"/>
    </xf>
    <xf numFmtId="166" fontId="48" fillId="0" borderId="0" xfId="0" applyNumberFormat="1" applyFont="1" applyAlignment="1">
      <alignment horizontal="center" vertical="center"/>
    </xf>
    <xf numFmtId="166" fontId="83" fillId="0" borderId="0" xfId="0" applyNumberFormat="1" applyFont="1" applyAlignment="1">
      <alignment horizontal="center" vertical="center"/>
    </xf>
    <xf numFmtId="0" fontId="60" fillId="0" borderId="0" xfId="0" applyFont="1" applyAlignment="1">
      <alignment horizontal="center" vertical="center"/>
    </xf>
    <xf numFmtId="166" fontId="47" fillId="0" borderId="15" xfId="0" applyNumberFormat="1" applyFont="1" applyBorder="1" applyAlignment="1">
      <alignment horizontal="left" vertical="center"/>
    </xf>
    <xf numFmtId="166" fontId="47" fillId="14" borderId="24" xfId="0" applyNumberFormat="1" applyFont="1" applyFill="1" applyBorder="1" applyAlignment="1">
      <alignment horizontal="left" vertical="center"/>
    </xf>
    <xf numFmtId="166" fontId="96" fillId="24" borderId="15" xfId="0" applyNumberFormat="1" applyFont="1" applyFill="1" applyBorder="1" applyAlignment="1">
      <alignment horizontal="left" vertical="center"/>
    </xf>
    <xf numFmtId="166" fontId="96" fillId="24" borderId="25" xfId="0" applyNumberFormat="1" applyFont="1" applyFill="1" applyBorder="1" applyAlignment="1">
      <alignment horizontal="left" vertical="center"/>
    </xf>
    <xf numFmtId="166" fontId="96" fillId="24" borderId="24" xfId="0" applyNumberFormat="1" applyFont="1" applyFill="1" applyBorder="1" applyAlignment="1">
      <alignment horizontal="left" vertical="center"/>
    </xf>
    <xf numFmtId="49" fontId="49" fillId="24" borderId="16" xfId="0" applyNumberFormat="1" applyFont="1" applyFill="1" applyBorder="1" applyAlignment="1">
      <alignment horizontal="left" vertical="center"/>
    </xf>
    <xf numFmtId="49" fontId="47" fillId="35" borderId="9" xfId="0" applyNumberFormat="1" applyFont="1" applyFill="1" applyBorder="1" applyAlignment="1">
      <alignment horizontal="left" vertical="center"/>
    </xf>
    <xf numFmtId="0" fontId="48" fillId="35" borderId="9" xfId="0" applyFont="1" applyFill="1" applyBorder="1" applyAlignment="1">
      <alignment horizontal="justify" vertical="center" wrapText="1"/>
    </xf>
    <xf numFmtId="0" fontId="48" fillId="35" borderId="14" xfId="0" applyFont="1" applyFill="1" applyBorder="1" applyAlignment="1">
      <alignment horizontal="left" vertical="center" textRotation="90" wrapText="1"/>
    </xf>
    <xf numFmtId="0" fontId="48" fillId="36" borderId="18" xfId="0" applyFont="1" applyFill="1" applyBorder="1" applyAlignment="1">
      <alignment horizontal="left" vertical="center" wrapText="1"/>
    </xf>
    <xf numFmtId="0" fontId="48" fillId="0" borderId="52" xfId="0" applyFont="1" applyBorder="1" applyAlignment="1">
      <alignment horizontal="left" vertical="center"/>
    </xf>
    <xf numFmtId="0" fontId="47" fillId="15" borderId="52" xfId="0" applyFont="1" applyFill="1" applyBorder="1" applyAlignment="1">
      <alignment horizontal="left" vertical="center" wrapText="1"/>
    </xf>
    <xf numFmtId="49" fontId="49" fillId="24" borderId="52" xfId="0" applyNumberFormat="1" applyFont="1" applyFill="1" applyBorder="1" applyAlignment="1">
      <alignment horizontal="left" vertical="center"/>
    </xf>
    <xf numFmtId="0" fontId="96" fillId="24" borderId="52" xfId="0" applyFont="1" applyFill="1" applyBorder="1" applyAlignment="1">
      <alignment horizontal="justify" vertical="center" wrapText="1"/>
    </xf>
    <xf numFmtId="0" fontId="96" fillId="24" borderId="52" xfId="0" applyFont="1" applyFill="1" applyBorder="1" applyAlignment="1">
      <alignment horizontal="left" vertical="center" textRotation="90" wrapText="1"/>
    </xf>
    <xf numFmtId="0" fontId="96" fillId="25" borderId="52" xfId="0" applyFont="1" applyFill="1" applyBorder="1" applyAlignment="1">
      <alignment horizontal="left" vertical="center" wrapText="1"/>
    </xf>
    <xf numFmtId="49" fontId="47" fillId="24" borderId="52" xfId="0" applyNumberFormat="1" applyFont="1" applyFill="1" applyBorder="1" applyAlignment="1">
      <alignment horizontal="left" vertical="center"/>
    </xf>
    <xf numFmtId="0" fontId="98" fillId="24" borderId="52" xfId="0" applyFont="1" applyFill="1" applyBorder="1" applyAlignment="1">
      <alignment horizontal="justify" vertical="center" wrapText="1"/>
    </xf>
    <xf numFmtId="49" fontId="48" fillId="0" borderId="0" xfId="0" applyNumberFormat="1" applyFont="1" applyAlignment="1">
      <alignment horizontal="center" vertical="center" wrapText="1"/>
    </xf>
    <xf numFmtId="0" fontId="39" fillId="0" borderId="0" xfId="0" applyFont="1" applyAlignment="1">
      <alignment horizontal="center" vertical="center"/>
    </xf>
    <xf numFmtId="0" fontId="47" fillId="0" borderId="0" xfId="0" applyFont="1" applyAlignment="1">
      <alignment vertical="top" wrapText="1"/>
    </xf>
    <xf numFmtId="166" fontId="47" fillId="0" borderId="28" xfId="0" applyNumberFormat="1" applyFont="1" applyBorder="1" applyAlignment="1">
      <alignment horizontal="center" vertical="center" wrapText="1"/>
    </xf>
    <xf numFmtId="166" fontId="38" fillId="0" borderId="0" xfId="0" applyNumberFormat="1" applyFont="1" applyAlignment="1">
      <alignment horizontal="center" vertical="center" wrapText="1"/>
    </xf>
    <xf numFmtId="9" fontId="47" fillId="14" borderId="17" xfId="22" applyFont="1" applyFill="1" applyBorder="1" applyAlignment="1">
      <alignment horizontal="justify" vertical="center"/>
    </xf>
    <xf numFmtId="0" fontId="47" fillId="23" borderId="12" xfId="0" applyFont="1" applyFill="1" applyBorder="1" applyAlignment="1">
      <alignment horizontal="justify" vertical="center" textRotation="90" wrapText="1"/>
    </xf>
    <xf numFmtId="49" fontId="48" fillId="0" borderId="18" xfId="0" applyNumberFormat="1" applyFont="1" applyBorder="1" applyAlignment="1">
      <alignment horizontal="justify" vertical="center"/>
    </xf>
    <xf numFmtId="9" fontId="84" fillId="0" borderId="18" xfId="22" applyFont="1" applyBorder="1" applyAlignment="1">
      <alignment horizontal="justify" vertical="center"/>
    </xf>
    <xf numFmtId="9" fontId="84" fillId="0" borderId="12" xfId="22" applyFont="1" applyBorder="1" applyAlignment="1">
      <alignment horizontal="justify" vertical="center"/>
    </xf>
    <xf numFmtId="9" fontId="84" fillId="14" borderId="17" xfId="22" applyFont="1" applyFill="1" applyBorder="1" applyAlignment="1">
      <alignment horizontal="justify" vertical="center"/>
    </xf>
    <xf numFmtId="49" fontId="49" fillId="24" borderId="12" xfId="0" applyNumberFormat="1" applyFont="1" applyFill="1" applyBorder="1" applyAlignment="1">
      <alignment horizontal="justify" vertical="center"/>
    </xf>
    <xf numFmtId="49" fontId="96" fillId="24" borderId="12" xfId="0" applyNumberFormat="1" applyFont="1" applyFill="1" applyBorder="1" applyAlignment="1">
      <alignment horizontal="justify" vertical="center" textRotation="90"/>
    </xf>
    <xf numFmtId="49" fontId="47" fillId="23" borderId="12" xfId="0" applyNumberFormat="1" applyFont="1" applyFill="1" applyBorder="1" applyAlignment="1">
      <alignment horizontal="justify" vertical="center"/>
    </xf>
    <xf numFmtId="49" fontId="48" fillId="23" borderId="12" xfId="0" applyNumberFormat="1" applyFont="1" applyFill="1" applyBorder="1" applyAlignment="1">
      <alignment horizontal="justify" vertical="center" textRotation="90"/>
    </xf>
    <xf numFmtId="9" fontId="84" fillId="23" borderId="12" xfId="22" applyFont="1" applyFill="1" applyBorder="1" applyAlignment="1">
      <alignment horizontal="justify" vertical="center"/>
    </xf>
    <xf numFmtId="166" fontId="48" fillId="23" borderId="12" xfId="0" applyNumberFormat="1" applyFont="1" applyFill="1" applyBorder="1" applyAlignment="1">
      <alignment horizontal="justify" vertical="center"/>
    </xf>
    <xf numFmtId="49" fontId="48" fillId="24" borderId="12" xfId="0" applyNumberFormat="1" applyFont="1" applyFill="1" applyBorder="1" applyAlignment="1">
      <alignment horizontal="justify" vertical="center"/>
    </xf>
    <xf numFmtId="0" fontId="48" fillId="25" borderId="12" xfId="0" applyFont="1" applyFill="1" applyBorder="1" applyAlignment="1">
      <alignment horizontal="justify" vertical="center" textRotation="90" wrapText="1"/>
    </xf>
    <xf numFmtId="49" fontId="48" fillId="24" borderId="38" xfId="0" applyNumberFormat="1" applyFont="1" applyFill="1" applyBorder="1" applyAlignment="1">
      <alignment horizontal="justify" vertical="center" wrapText="1"/>
    </xf>
    <xf numFmtId="49" fontId="48" fillId="24" borderId="0" xfId="0" applyNumberFormat="1" applyFont="1" applyFill="1" applyAlignment="1">
      <alignment horizontal="justify" vertical="center" wrapText="1"/>
    </xf>
    <xf numFmtId="49" fontId="48" fillId="24" borderId="36" xfId="0" applyNumberFormat="1" applyFont="1" applyFill="1" applyBorder="1" applyAlignment="1">
      <alignment horizontal="justify" vertical="center" wrapText="1"/>
    </xf>
    <xf numFmtId="49" fontId="48" fillId="24" borderId="18" xfId="0" applyNumberFormat="1" applyFont="1" applyFill="1" applyBorder="1" applyAlignment="1">
      <alignment horizontal="justify" vertical="center"/>
    </xf>
    <xf numFmtId="0" fontId="47" fillId="24" borderId="18" xfId="0" applyFont="1" applyFill="1" applyBorder="1" applyAlignment="1">
      <alignment horizontal="justify" vertical="center"/>
    </xf>
    <xf numFmtId="166" fontId="47" fillId="24" borderId="20" xfId="0" applyNumberFormat="1" applyFont="1" applyFill="1" applyBorder="1" applyAlignment="1">
      <alignment horizontal="justify" vertical="center"/>
    </xf>
    <xf numFmtId="0" fontId="48" fillId="24" borderId="12" xfId="0" applyFont="1" applyFill="1" applyBorder="1" applyAlignment="1">
      <alignment horizontal="justify" vertical="center" wrapText="1"/>
    </xf>
    <xf numFmtId="0" fontId="48" fillId="24" borderId="29" xfId="0" applyFont="1" applyFill="1" applyBorder="1" applyAlignment="1">
      <alignment horizontal="justify" vertical="center" wrapText="1"/>
    </xf>
    <xf numFmtId="49" fontId="48" fillId="24" borderId="19" xfId="0" applyNumberFormat="1" applyFont="1" applyFill="1" applyBorder="1" applyAlignment="1">
      <alignment horizontal="justify" vertical="center"/>
    </xf>
    <xf numFmtId="0" fontId="48" fillId="25" borderId="34" xfId="0" applyFont="1" applyFill="1" applyBorder="1" applyAlignment="1">
      <alignment horizontal="justify" vertical="center" textRotation="90" wrapText="1"/>
    </xf>
    <xf numFmtId="0" fontId="47" fillId="24" borderId="7" xfId="0" applyFont="1" applyFill="1" applyBorder="1" applyAlignment="1">
      <alignment horizontal="justify" vertical="center"/>
    </xf>
    <xf numFmtId="9" fontId="47" fillId="24" borderId="17" xfId="22" applyFont="1" applyFill="1" applyBorder="1" applyAlignment="1">
      <alignment horizontal="justify" vertical="center"/>
    </xf>
    <xf numFmtId="49" fontId="48" fillId="24" borderId="20" xfId="0" applyNumberFormat="1" applyFont="1" applyFill="1" applyBorder="1" applyAlignment="1">
      <alignment horizontal="justify" vertical="center" wrapText="1"/>
    </xf>
    <xf numFmtId="0" fontId="83" fillId="0" borderId="6" xfId="0" applyFont="1" applyBorder="1" applyAlignment="1">
      <alignment horizontal="justify" vertical="center"/>
    </xf>
    <xf numFmtId="0" fontId="84" fillId="14" borderId="7" xfId="0" applyFont="1" applyFill="1" applyBorder="1" applyAlignment="1">
      <alignment horizontal="justify" vertical="center"/>
    </xf>
    <xf numFmtId="0" fontId="48" fillId="0" borderId="7" xfId="0" applyFont="1" applyBorder="1" applyAlignment="1">
      <alignment horizontal="justify" vertical="center"/>
    </xf>
    <xf numFmtId="9" fontId="84" fillId="0" borderId="17" xfId="22" applyFont="1" applyBorder="1" applyAlignment="1">
      <alignment horizontal="justify" vertical="center"/>
    </xf>
    <xf numFmtId="0" fontId="48" fillId="0" borderId="7" xfId="0" applyFont="1" applyBorder="1" applyAlignment="1">
      <alignment horizontal="justify" vertical="center" wrapText="1"/>
    </xf>
    <xf numFmtId="9" fontId="47" fillId="0" borderId="17" xfId="22" applyFont="1" applyBorder="1" applyAlignment="1">
      <alignment horizontal="justify" vertical="center"/>
    </xf>
    <xf numFmtId="49" fontId="96" fillId="24" borderId="17" xfId="0" applyNumberFormat="1" applyFont="1" applyFill="1" applyBorder="1" applyAlignment="1">
      <alignment horizontal="justify" vertical="center"/>
    </xf>
    <xf numFmtId="0" fontId="96" fillId="25" borderId="11" xfId="0" applyFont="1" applyFill="1" applyBorder="1" applyAlignment="1">
      <alignment horizontal="justify" vertical="center" wrapText="1"/>
    </xf>
    <xf numFmtId="0" fontId="96" fillId="25" borderId="6" xfId="0" applyFont="1" applyFill="1" applyBorder="1" applyAlignment="1">
      <alignment horizontal="justify" vertical="center" textRotation="90" wrapText="1"/>
    </xf>
    <xf numFmtId="9" fontId="100" fillId="24" borderId="12" xfId="22" applyFont="1" applyFill="1" applyBorder="1" applyAlignment="1">
      <alignment horizontal="justify" vertical="center"/>
    </xf>
    <xf numFmtId="166" fontId="96" fillId="5" borderId="12" xfId="0" applyNumberFormat="1" applyFont="1" applyFill="1" applyBorder="1" applyAlignment="1">
      <alignment horizontal="justify" vertical="center"/>
    </xf>
    <xf numFmtId="166" fontId="48" fillId="24" borderId="12" xfId="0" applyNumberFormat="1" applyFont="1" applyFill="1" applyBorder="1" applyAlignment="1">
      <alignment horizontal="justify" vertical="center" wrapText="1"/>
    </xf>
    <xf numFmtId="0" fontId="96" fillId="25" borderId="26" xfId="0" applyFont="1" applyFill="1" applyBorder="1" applyAlignment="1">
      <alignment horizontal="justify" vertical="center" wrapText="1"/>
    </xf>
    <xf numFmtId="166" fontId="100" fillId="24" borderId="17" xfId="0" applyNumberFormat="1" applyFont="1" applyFill="1" applyBorder="1" applyAlignment="1">
      <alignment horizontal="justify" vertical="center"/>
    </xf>
    <xf numFmtId="9" fontId="100" fillId="24" borderId="17" xfId="22" applyFont="1" applyFill="1" applyBorder="1" applyAlignment="1">
      <alignment horizontal="justify" vertical="center"/>
    </xf>
    <xf numFmtId="49" fontId="96" fillId="24" borderId="18" xfId="0" applyNumberFormat="1" applyFont="1" applyFill="1" applyBorder="1" applyAlignment="1">
      <alignment horizontal="justify" vertical="center"/>
    </xf>
    <xf numFmtId="0" fontId="49" fillId="41" borderId="7" xfId="0" applyFont="1" applyFill="1" applyBorder="1" applyAlignment="1">
      <alignment horizontal="justify" vertical="center"/>
    </xf>
    <xf numFmtId="166" fontId="98" fillId="41" borderId="17" xfId="0" applyNumberFormat="1" applyFont="1" applyFill="1" applyBorder="1" applyAlignment="1">
      <alignment horizontal="justify" vertical="center"/>
    </xf>
    <xf numFmtId="9" fontId="98" fillId="41" borderId="17" xfId="22" applyFont="1" applyFill="1" applyBorder="1" applyAlignment="1">
      <alignment horizontal="justify" vertical="center"/>
    </xf>
    <xf numFmtId="166" fontId="49" fillId="41" borderId="17" xfId="0" applyNumberFormat="1" applyFont="1" applyFill="1" applyBorder="1" applyAlignment="1">
      <alignment horizontal="justify" vertical="center"/>
    </xf>
    <xf numFmtId="166" fontId="49" fillId="41" borderId="12" xfId="0" applyNumberFormat="1" applyFont="1" applyFill="1" applyBorder="1" applyAlignment="1">
      <alignment horizontal="justify" vertical="center"/>
    </xf>
    <xf numFmtId="166" fontId="98" fillId="41" borderId="12" xfId="0" applyNumberFormat="1" applyFont="1" applyFill="1" applyBorder="1" applyAlignment="1">
      <alignment horizontal="justify" vertical="center"/>
    </xf>
    <xf numFmtId="9" fontId="84" fillId="14" borderId="12" xfId="22" applyFont="1" applyFill="1" applyBorder="1" applyAlignment="1">
      <alignment horizontal="justify" vertical="center"/>
    </xf>
    <xf numFmtId="9" fontId="49" fillId="0" borderId="12" xfId="22" applyFont="1" applyBorder="1" applyAlignment="1">
      <alignment horizontal="justify" vertical="center"/>
    </xf>
    <xf numFmtId="9" fontId="84" fillId="0" borderId="17" xfId="22" applyFont="1" applyFill="1" applyBorder="1" applyAlignment="1">
      <alignment horizontal="justify" vertical="center"/>
    </xf>
    <xf numFmtId="9" fontId="47" fillId="0" borderId="17" xfId="22" applyFont="1" applyFill="1" applyBorder="1" applyAlignment="1">
      <alignment horizontal="justify" vertical="center"/>
    </xf>
    <xf numFmtId="166" fontId="84" fillId="14" borderId="18" xfId="0" applyNumberFormat="1" applyFont="1" applyFill="1" applyBorder="1" applyAlignment="1">
      <alignment horizontal="justify" vertical="center"/>
    </xf>
    <xf numFmtId="9" fontId="84" fillId="14" borderId="18" xfId="22" applyFont="1" applyFill="1" applyBorder="1" applyAlignment="1">
      <alignment horizontal="justify" vertical="center"/>
    </xf>
    <xf numFmtId="166" fontId="47" fillId="14" borderId="18" xfId="0" applyNumberFormat="1" applyFont="1" applyFill="1" applyBorder="1" applyAlignment="1">
      <alignment horizontal="justify" vertical="center"/>
    </xf>
    <xf numFmtId="49" fontId="96" fillId="24" borderId="9" xfId="0" applyNumberFormat="1" applyFont="1" applyFill="1" applyBorder="1" applyAlignment="1">
      <alignment horizontal="justify" vertical="center"/>
    </xf>
    <xf numFmtId="49" fontId="96" fillId="24" borderId="18" xfId="0" applyNumberFormat="1" applyFont="1" applyFill="1" applyBorder="1" applyAlignment="1">
      <alignment horizontal="justify" vertical="center" textRotation="90"/>
    </xf>
    <xf numFmtId="49" fontId="96" fillId="24" borderId="6" xfId="0" applyNumberFormat="1" applyFont="1" applyFill="1" applyBorder="1" applyAlignment="1">
      <alignment horizontal="justify" vertical="center"/>
    </xf>
    <xf numFmtId="49" fontId="96" fillId="24" borderId="12" xfId="0" applyNumberFormat="1" applyFont="1" applyFill="1" applyBorder="1" applyAlignment="1">
      <alignment horizontal="justify" vertical="center"/>
    </xf>
    <xf numFmtId="0" fontId="49" fillId="41" borderId="12" xfId="0" applyFont="1" applyFill="1" applyBorder="1" applyAlignment="1">
      <alignment horizontal="justify" vertical="center"/>
    </xf>
    <xf numFmtId="166" fontId="100" fillId="41" borderId="12" xfId="0" applyNumberFormat="1" applyFont="1" applyFill="1" applyBorder="1" applyAlignment="1">
      <alignment horizontal="justify" vertical="center"/>
    </xf>
    <xf numFmtId="9" fontId="100" fillId="41" borderId="12" xfId="22" applyFont="1" applyFill="1" applyBorder="1" applyAlignment="1">
      <alignment horizontal="justify" vertical="center"/>
    </xf>
    <xf numFmtId="166" fontId="96" fillId="41" borderId="12" xfId="0" applyNumberFormat="1" applyFont="1" applyFill="1" applyBorder="1" applyAlignment="1">
      <alignment horizontal="justify" vertical="center"/>
    </xf>
    <xf numFmtId="0" fontId="96" fillId="24" borderId="0" xfId="0" applyFont="1" applyFill="1" applyAlignment="1">
      <alignment horizontal="justify" vertical="center"/>
    </xf>
    <xf numFmtId="9" fontId="98" fillId="41" borderId="12" xfId="22" applyFont="1" applyFill="1" applyBorder="1" applyAlignment="1">
      <alignment horizontal="justify" vertical="center"/>
    </xf>
    <xf numFmtId="9" fontId="84" fillId="0" borderId="12" xfId="22" applyFont="1" applyFill="1" applyBorder="1" applyAlignment="1">
      <alignment horizontal="justify" vertical="center"/>
    </xf>
    <xf numFmtId="49" fontId="48" fillId="24" borderId="17" xfId="0" applyNumberFormat="1" applyFont="1" applyFill="1" applyBorder="1" applyAlignment="1">
      <alignment horizontal="justify" vertical="center" textRotation="90"/>
    </xf>
    <xf numFmtId="0" fontId="47" fillId="24" borderId="17" xfId="0" applyFont="1" applyFill="1" applyBorder="1" applyAlignment="1">
      <alignment horizontal="justify" vertical="center"/>
    </xf>
    <xf numFmtId="9" fontId="84" fillId="24" borderId="12" xfId="22" applyFont="1" applyFill="1" applyBorder="1" applyAlignment="1">
      <alignment horizontal="justify" vertical="center"/>
    </xf>
    <xf numFmtId="166" fontId="48" fillId="24" borderId="18" xfId="0" applyNumberFormat="1" applyFont="1" applyFill="1" applyBorder="1" applyAlignment="1">
      <alignment horizontal="justify" vertical="center"/>
    </xf>
    <xf numFmtId="0" fontId="90" fillId="24" borderId="18" xfId="0" applyFont="1" applyFill="1" applyBorder="1" applyAlignment="1">
      <alignment horizontal="justify" vertical="center" wrapText="1"/>
    </xf>
    <xf numFmtId="49" fontId="48" fillId="24" borderId="0" xfId="0" applyNumberFormat="1" applyFont="1" applyFill="1" applyAlignment="1">
      <alignment horizontal="justify" vertical="center"/>
    </xf>
    <xf numFmtId="0" fontId="49" fillId="24" borderId="6" xfId="0" applyFont="1" applyFill="1" applyBorder="1" applyAlignment="1">
      <alignment horizontal="justify" vertical="center"/>
    </xf>
    <xf numFmtId="9" fontId="100" fillId="24" borderId="18" xfId="22" applyFont="1" applyFill="1" applyBorder="1" applyAlignment="1">
      <alignment horizontal="justify" vertical="center"/>
    </xf>
    <xf numFmtId="49" fontId="49" fillId="24" borderId="6" xfId="0" applyNumberFormat="1" applyFont="1" applyFill="1" applyBorder="1" applyAlignment="1">
      <alignment horizontal="justify" vertical="center"/>
    </xf>
    <xf numFmtId="49" fontId="48" fillId="11" borderId="12" xfId="0" applyNumberFormat="1" applyFont="1" applyFill="1" applyBorder="1" applyAlignment="1">
      <alignment horizontal="justify" vertical="center" wrapText="1"/>
    </xf>
    <xf numFmtId="49" fontId="49" fillId="24" borderId="21" xfId="0" applyNumberFormat="1" applyFont="1" applyFill="1" applyBorder="1" applyAlignment="1">
      <alignment horizontal="justify" vertical="center"/>
    </xf>
    <xf numFmtId="0" fontId="96" fillId="25" borderId="17" xfId="0" applyFont="1" applyFill="1" applyBorder="1" applyAlignment="1">
      <alignment horizontal="justify" vertical="center" wrapText="1"/>
    </xf>
    <xf numFmtId="0" fontId="96" fillId="25" borderId="17" xfId="0" applyFont="1" applyFill="1" applyBorder="1" applyAlignment="1">
      <alignment horizontal="justify" vertical="center" textRotation="90" wrapText="1"/>
    </xf>
    <xf numFmtId="9" fontId="100" fillId="24" borderId="20" xfId="22" applyFont="1" applyFill="1" applyBorder="1" applyAlignment="1">
      <alignment horizontal="justify" vertical="center"/>
    </xf>
    <xf numFmtId="166" fontId="100" fillId="24" borderId="0" xfId="0" applyNumberFormat="1" applyFont="1" applyFill="1" applyAlignment="1">
      <alignment horizontal="justify" vertical="center"/>
    </xf>
    <xf numFmtId="166" fontId="96" fillId="24" borderId="19" xfId="0" applyNumberFormat="1" applyFont="1" applyFill="1" applyBorder="1" applyAlignment="1">
      <alignment horizontal="justify" vertical="center"/>
    </xf>
    <xf numFmtId="49" fontId="49" fillId="24" borderId="20" xfId="0" applyNumberFormat="1" applyFont="1" applyFill="1" applyBorder="1" applyAlignment="1">
      <alignment horizontal="justify" vertical="center" wrapText="1"/>
    </xf>
    <xf numFmtId="49" fontId="47" fillId="24" borderId="20" xfId="0" applyNumberFormat="1" applyFont="1" applyFill="1" applyBorder="1" applyAlignment="1">
      <alignment horizontal="justify" vertical="center" wrapText="1"/>
    </xf>
    <xf numFmtId="49" fontId="48" fillId="11" borderId="17" xfId="0" applyNumberFormat="1" applyFont="1" applyFill="1" applyBorder="1" applyAlignment="1">
      <alignment horizontal="justify" vertical="center" wrapText="1"/>
    </xf>
    <xf numFmtId="49" fontId="47" fillId="24" borderId="7" xfId="0" applyNumberFormat="1" applyFont="1" applyFill="1" applyBorder="1" applyAlignment="1">
      <alignment horizontal="justify" vertical="center"/>
    </xf>
    <xf numFmtId="0" fontId="48" fillId="25" borderId="7" xfId="0" applyFont="1" applyFill="1" applyBorder="1" applyAlignment="1">
      <alignment horizontal="justify" vertical="center" textRotation="90" wrapText="1"/>
    </xf>
    <xf numFmtId="0" fontId="47" fillId="24" borderId="6" xfId="0" applyFont="1" applyFill="1" applyBorder="1" applyAlignment="1">
      <alignment horizontal="justify" vertical="center"/>
    </xf>
    <xf numFmtId="9" fontId="84" fillId="24" borderId="18" xfId="22" applyFont="1" applyFill="1" applyBorder="1" applyAlignment="1">
      <alignment horizontal="justify" vertical="center"/>
    </xf>
    <xf numFmtId="0" fontId="47" fillId="14" borderId="26" xfId="0" applyFont="1" applyFill="1" applyBorder="1" applyAlignment="1">
      <alignment horizontal="justify" vertical="center"/>
    </xf>
    <xf numFmtId="9" fontId="84" fillId="14" borderId="20" xfId="22" applyFont="1" applyFill="1" applyBorder="1" applyAlignment="1">
      <alignment horizontal="justify" vertical="center"/>
    </xf>
    <xf numFmtId="49" fontId="49" fillId="24" borderId="7" xfId="0" applyNumberFormat="1" applyFont="1" applyFill="1" applyBorder="1" applyAlignment="1">
      <alignment horizontal="justify" vertical="center"/>
    </xf>
    <xf numFmtId="9" fontId="98" fillId="24" borderId="18" xfId="22" applyFont="1" applyFill="1" applyBorder="1" applyAlignment="1">
      <alignment horizontal="justify" vertical="center"/>
    </xf>
    <xf numFmtId="49" fontId="47" fillId="24" borderId="12" xfId="0" applyNumberFormat="1" applyFont="1" applyFill="1" applyBorder="1" applyAlignment="1">
      <alignment horizontal="justify" vertical="center" wrapText="1"/>
    </xf>
    <xf numFmtId="49" fontId="47" fillId="24" borderId="12" xfId="0" applyNumberFormat="1" applyFont="1" applyFill="1" applyBorder="1" applyAlignment="1">
      <alignment horizontal="justify" vertical="center"/>
    </xf>
    <xf numFmtId="0" fontId="48" fillId="25" borderId="12" xfId="0" applyFont="1" applyFill="1" applyBorder="1" applyAlignment="1">
      <alignment horizontal="justify" vertical="center" wrapText="1"/>
    </xf>
    <xf numFmtId="0" fontId="48" fillId="24" borderId="15" xfId="0" applyFont="1" applyFill="1" applyBorder="1" applyAlignment="1">
      <alignment horizontal="justify" vertical="center"/>
    </xf>
    <xf numFmtId="0" fontId="48" fillId="22" borderId="12" xfId="0" applyFont="1" applyFill="1" applyBorder="1" applyAlignment="1">
      <alignment horizontal="justify" vertical="center" textRotation="90" wrapText="1"/>
    </xf>
    <xf numFmtId="0" fontId="47" fillId="23" borderId="15" xfId="0" applyFont="1" applyFill="1" applyBorder="1" applyAlignment="1">
      <alignment horizontal="justify" vertical="center"/>
    </xf>
    <xf numFmtId="0" fontId="49" fillId="24" borderId="7" xfId="0" applyFont="1" applyFill="1" applyBorder="1" applyAlignment="1">
      <alignment horizontal="justify" vertical="center"/>
    </xf>
    <xf numFmtId="49" fontId="49" fillId="0" borderId="18" xfId="0" applyNumberFormat="1" applyFont="1" applyBorder="1" applyAlignment="1">
      <alignment horizontal="justify" vertical="center" wrapText="1"/>
    </xf>
    <xf numFmtId="49" fontId="96" fillId="0" borderId="12" xfId="0" applyNumberFormat="1" applyFont="1" applyBorder="1" applyAlignment="1">
      <alignment horizontal="justify" vertical="center" wrapText="1"/>
    </xf>
    <xf numFmtId="49" fontId="47" fillId="23" borderId="0" xfId="0" applyNumberFormat="1" applyFont="1" applyFill="1" applyAlignment="1">
      <alignment horizontal="justify" vertical="center"/>
    </xf>
    <xf numFmtId="0" fontId="47" fillId="22" borderId="12" xfId="0" applyFont="1" applyFill="1" applyBorder="1" applyAlignment="1">
      <alignment horizontal="justify" vertical="center" textRotation="90" wrapText="1"/>
    </xf>
    <xf numFmtId="166" fontId="84" fillId="23" borderId="17" xfId="0" applyNumberFormat="1" applyFont="1" applyFill="1" applyBorder="1" applyAlignment="1">
      <alignment horizontal="justify" vertical="center"/>
    </xf>
    <xf numFmtId="166" fontId="47" fillId="23" borderId="17" xfId="0" applyNumberFormat="1" applyFont="1" applyFill="1" applyBorder="1" applyAlignment="1">
      <alignment horizontal="justify" vertical="center"/>
    </xf>
    <xf numFmtId="49" fontId="98" fillId="24" borderId="12" xfId="0" applyNumberFormat="1" applyFont="1" applyFill="1" applyBorder="1" applyAlignment="1">
      <alignment horizontal="justify" vertical="center"/>
    </xf>
    <xf numFmtId="166" fontId="100" fillId="24" borderId="17" xfId="0" applyNumberFormat="1" applyFont="1" applyFill="1" applyBorder="1" applyAlignment="1">
      <alignment horizontal="justify" vertical="center" wrapText="1"/>
    </xf>
    <xf numFmtId="49" fontId="96" fillId="24" borderId="36" xfId="0" applyNumberFormat="1" applyFont="1" applyFill="1" applyBorder="1" applyAlignment="1">
      <alignment horizontal="justify" vertical="center" wrapText="1"/>
    </xf>
    <xf numFmtId="49" fontId="96" fillId="24" borderId="25" xfId="0" applyNumberFormat="1" applyFont="1" applyFill="1" applyBorder="1" applyAlignment="1">
      <alignment horizontal="justify" vertical="center" wrapText="1"/>
    </xf>
    <xf numFmtId="166" fontId="84" fillId="0" borderId="25" xfId="0" applyNumberFormat="1" applyFont="1" applyBorder="1" applyAlignment="1">
      <alignment horizontal="justify" vertical="center" wrapText="1"/>
    </xf>
    <xf numFmtId="166" fontId="84" fillId="0" borderId="18" xfId="0" applyNumberFormat="1" applyFont="1" applyBorder="1" applyAlignment="1">
      <alignment horizontal="justify" vertical="center" wrapText="1"/>
    </xf>
    <xf numFmtId="166" fontId="48" fillId="0" borderId="0" xfId="0" applyNumberFormat="1" applyFont="1" applyAlignment="1">
      <alignment horizontal="justify" vertical="center"/>
    </xf>
    <xf numFmtId="166" fontId="84" fillId="0" borderId="15" xfId="0" applyNumberFormat="1" applyFont="1" applyBorder="1" applyAlignment="1">
      <alignment horizontal="justify" vertical="center"/>
    </xf>
    <xf numFmtId="166" fontId="84" fillId="24" borderId="15" xfId="0" applyNumberFormat="1" applyFont="1" applyFill="1" applyBorder="1" applyAlignment="1">
      <alignment horizontal="justify" vertical="center"/>
    </xf>
    <xf numFmtId="166" fontId="47" fillId="24" borderId="13" xfId="0" applyNumberFormat="1" applyFont="1" applyFill="1" applyBorder="1" applyAlignment="1">
      <alignment horizontal="justify" vertical="center"/>
    </xf>
    <xf numFmtId="166" fontId="84" fillId="14" borderId="12" xfId="0" applyNumberFormat="1" applyFont="1" applyFill="1" applyBorder="1" applyAlignment="1">
      <alignment horizontal="justify" vertical="center" wrapText="1"/>
    </xf>
    <xf numFmtId="0" fontId="47" fillId="23" borderId="18" xfId="0" applyFont="1" applyFill="1" applyBorder="1" applyAlignment="1">
      <alignment horizontal="center" vertical="center"/>
    </xf>
    <xf numFmtId="0" fontId="96" fillId="24" borderId="0" xfId="0" applyFont="1" applyFill="1" applyAlignment="1">
      <alignment horizontal="center" vertical="center"/>
    </xf>
    <xf numFmtId="0" fontId="96" fillId="24" borderId="15" xfId="0" applyFont="1" applyFill="1" applyBorder="1" applyAlignment="1">
      <alignment horizontal="center" vertical="center"/>
    </xf>
    <xf numFmtId="0" fontId="100" fillId="24" borderId="15" xfId="0" applyFont="1" applyFill="1" applyBorder="1" applyAlignment="1">
      <alignment horizontal="center" vertical="center"/>
    </xf>
    <xf numFmtId="0" fontId="100" fillId="24" borderId="24" xfId="0" applyFont="1" applyFill="1" applyBorder="1" applyAlignment="1">
      <alignment horizontal="center" vertical="center"/>
    </xf>
    <xf numFmtId="0" fontId="48" fillId="24" borderId="15" xfId="0" applyFont="1" applyFill="1" applyBorder="1" applyAlignment="1">
      <alignment horizontal="center" vertical="center"/>
    </xf>
    <xf numFmtId="0" fontId="96" fillId="24" borderId="24" xfId="0" applyFont="1" applyFill="1" applyBorder="1" applyAlignment="1">
      <alignment horizontal="center" vertical="center"/>
    </xf>
    <xf numFmtId="0" fontId="47" fillId="11" borderId="29" xfId="0" applyFont="1" applyFill="1" applyBorder="1" applyAlignment="1">
      <alignment horizontal="center" vertical="center" wrapText="1"/>
    </xf>
    <xf numFmtId="0" fontId="39" fillId="0" borderId="0" xfId="0" applyFont="1" applyAlignment="1">
      <alignment horizontal="center" vertical="top"/>
    </xf>
    <xf numFmtId="49" fontId="48" fillId="24" borderId="6" xfId="0" applyNumberFormat="1" applyFont="1" applyFill="1" applyBorder="1" applyAlignment="1">
      <alignment horizontal="justify" vertical="center"/>
    </xf>
    <xf numFmtId="0" fontId="104" fillId="25" borderId="7" xfId="0" applyFont="1" applyFill="1" applyBorder="1" applyAlignment="1">
      <alignment horizontal="justify" vertical="center" wrapText="1"/>
    </xf>
    <xf numFmtId="0" fontId="104" fillId="25" borderId="7" xfId="0" applyFont="1" applyFill="1" applyBorder="1" applyAlignment="1">
      <alignment horizontal="justify" vertical="center" textRotation="90" wrapText="1"/>
    </xf>
    <xf numFmtId="0" fontId="109" fillId="24" borderId="7" xfId="0" applyFont="1" applyFill="1" applyBorder="1" applyAlignment="1">
      <alignment horizontal="justify" vertical="center"/>
    </xf>
    <xf numFmtId="166" fontId="105" fillId="24" borderId="17" xfId="0" applyNumberFormat="1" applyFont="1" applyFill="1" applyBorder="1" applyAlignment="1">
      <alignment horizontal="justify" vertical="center"/>
    </xf>
    <xf numFmtId="9" fontId="105" fillId="24" borderId="12" xfId="22" applyFont="1" applyFill="1" applyBorder="1" applyAlignment="1">
      <alignment horizontal="justify" vertical="center"/>
    </xf>
    <xf numFmtId="166" fontId="104" fillId="24" borderId="12" xfId="0" applyNumberFormat="1" applyFont="1" applyFill="1" applyBorder="1" applyAlignment="1">
      <alignment horizontal="justify" vertical="center"/>
    </xf>
    <xf numFmtId="49" fontId="48" fillId="41" borderId="12" xfId="0" applyNumberFormat="1" applyFont="1" applyFill="1" applyBorder="1" applyAlignment="1">
      <alignment horizontal="justify" vertical="center"/>
    </xf>
    <xf numFmtId="0" fontId="48" fillId="42" borderId="12" xfId="0" applyFont="1" applyFill="1" applyBorder="1" applyAlignment="1">
      <alignment horizontal="justify" vertical="center" textRotation="90" wrapText="1"/>
    </xf>
    <xf numFmtId="0" fontId="48" fillId="41" borderId="11" xfId="0" applyFont="1" applyFill="1" applyBorder="1" applyAlignment="1">
      <alignment horizontal="justify" vertical="center"/>
    </xf>
    <xf numFmtId="166" fontId="84" fillId="41" borderId="12" xfId="0" applyNumberFormat="1" applyFont="1" applyFill="1" applyBorder="1" applyAlignment="1">
      <alignment horizontal="justify" vertical="center"/>
    </xf>
    <xf numFmtId="9" fontId="84" fillId="41" borderId="12" xfId="22" applyFont="1" applyFill="1" applyBorder="1" applyAlignment="1">
      <alignment horizontal="justify" vertical="center"/>
    </xf>
    <xf numFmtId="166" fontId="47" fillId="41" borderId="12" xfId="0" applyNumberFormat="1" applyFont="1" applyFill="1" applyBorder="1" applyAlignment="1">
      <alignment horizontal="justify" vertical="center"/>
    </xf>
    <xf numFmtId="49" fontId="48" fillId="41" borderId="12" xfId="0" applyNumberFormat="1" applyFont="1" applyFill="1" applyBorder="1" applyAlignment="1">
      <alignment horizontal="justify" vertical="center" wrapText="1"/>
    </xf>
    <xf numFmtId="49" fontId="48" fillId="41" borderId="15" xfId="0" applyNumberFormat="1" applyFont="1" applyFill="1" applyBorder="1" applyAlignment="1">
      <alignment horizontal="justify" vertical="center" wrapText="1"/>
    </xf>
    <xf numFmtId="166" fontId="84" fillId="41" borderId="17" xfId="0" applyNumberFormat="1" applyFont="1" applyFill="1" applyBorder="1" applyAlignment="1">
      <alignment horizontal="justify" vertical="center"/>
    </xf>
    <xf numFmtId="49" fontId="48" fillId="41" borderId="17" xfId="0" applyNumberFormat="1" applyFont="1" applyFill="1" applyBorder="1" applyAlignment="1">
      <alignment horizontal="justify" vertical="center" wrapText="1"/>
    </xf>
    <xf numFmtId="0" fontId="33" fillId="0" borderId="12" xfId="0" applyFont="1" applyBorder="1" applyAlignment="1">
      <alignment horizontal="justify" vertical="center"/>
    </xf>
    <xf numFmtId="166" fontId="33" fillId="0" borderId="12" xfId="0" applyNumberFormat="1" applyFont="1" applyBorder="1" applyAlignment="1">
      <alignment horizontal="justify" vertical="center"/>
    </xf>
    <xf numFmtId="0" fontId="51" fillId="0" borderId="12" xfId="0" applyFont="1" applyBorder="1" applyAlignment="1">
      <alignment horizontal="justify" vertical="center"/>
    </xf>
    <xf numFmtId="166" fontId="48" fillId="24" borderId="17" xfId="0" applyNumberFormat="1" applyFont="1" applyFill="1" applyBorder="1" applyAlignment="1">
      <alignment vertical="center"/>
    </xf>
    <xf numFmtId="49" fontId="48" fillId="24" borderId="17" xfId="0" applyNumberFormat="1" applyFont="1" applyFill="1" applyBorder="1" applyAlignment="1">
      <alignment vertical="center" wrapText="1"/>
    </xf>
    <xf numFmtId="166" fontId="97" fillId="23" borderId="12" xfId="0" applyNumberFormat="1" applyFont="1" applyFill="1" applyBorder="1" applyAlignment="1">
      <alignment horizontal="justify" vertical="center" wrapText="1"/>
    </xf>
    <xf numFmtId="9" fontId="97" fillId="23" borderId="12" xfId="22" applyFont="1" applyFill="1" applyBorder="1" applyAlignment="1">
      <alignment horizontal="justify" vertical="center" wrapText="1"/>
    </xf>
    <xf numFmtId="0" fontId="48" fillId="23" borderId="12" xfId="0" applyFont="1" applyFill="1" applyBorder="1" applyAlignment="1">
      <alignment horizontal="justify" vertical="center"/>
    </xf>
    <xf numFmtId="166" fontId="97" fillId="0" borderId="18" xfId="0" applyNumberFormat="1" applyFont="1" applyBorder="1" applyAlignment="1">
      <alignment horizontal="justify" vertical="center"/>
    </xf>
    <xf numFmtId="170" fontId="97" fillId="0" borderId="18" xfId="22" applyNumberFormat="1" applyFont="1" applyBorder="1" applyAlignment="1">
      <alignment horizontal="justify" vertical="center"/>
    </xf>
    <xf numFmtId="9" fontId="47" fillId="0" borderId="12" xfId="22" applyFont="1" applyFill="1" applyBorder="1" applyAlignment="1">
      <alignment horizontal="justify" vertical="center" wrapText="1"/>
    </xf>
    <xf numFmtId="166" fontId="97" fillId="14" borderId="12" xfId="0" applyNumberFormat="1" applyFont="1" applyFill="1" applyBorder="1" applyAlignment="1">
      <alignment horizontal="justify" vertical="center"/>
    </xf>
    <xf numFmtId="9" fontId="97" fillId="14" borderId="12" xfId="22" applyFont="1" applyFill="1" applyBorder="1" applyAlignment="1">
      <alignment horizontal="justify" vertical="center"/>
    </xf>
    <xf numFmtId="166" fontId="111" fillId="24" borderId="18" xfId="0" applyNumberFormat="1" applyFont="1" applyFill="1" applyBorder="1" applyAlignment="1">
      <alignment horizontal="justify" vertical="center"/>
    </xf>
    <xf numFmtId="166" fontId="104" fillId="24" borderId="18" xfId="0" applyNumberFormat="1" applyFont="1" applyFill="1" applyBorder="1" applyAlignment="1">
      <alignment horizontal="justify" vertical="center"/>
    </xf>
    <xf numFmtId="49" fontId="47" fillId="24" borderId="17" xfId="0" applyNumberFormat="1" applyFont="1" applyFill="1" applyBorder="1" applyAlignment="1">
      <alignment horizontal="justify" vertical="center" wrapText="1"/>
    </xf>
    <xf numFmtId="166" fontId="111" fillId="24" borderId="12" xfId="0" applyNumberFormat="1" applyFont="1" applyFill="1" applyBorder="1" applyAlignment="1">
      <alignment horizontal="justify" vertical="center"/>
    </xf>
    <xf numFmtId="49" fontId="100" fillId="24" borderId="12" xfId="0" applyNumberFormat="1" applyFont="1" applyFill="1" applyBorder="1" applyAlignment="1">
      <alignment horizontal="justify" vertical="center"/>
    </xf>
    <xf numFmtId="49" fontId="49" fillId="41" borderId="12" xfId="0" applyNumberFormat="1" applyFont="1" applyFill="1" applyBorder="1" applyAlignment="1">
      <alignment horizontal="justify" vertical="center"/>
    </xf>
    <xf numFmtId="9" fontId="98" fillId="41" borderId="18" xfId="22" applyFont="1" applyFill="1" applyBorder="1" applyAlignment="1">
      <alignment horizontal="justify" vertical="center"/>
    </xf>
    <xf numFmtId="166" fontId="105" fillId="41" borderId="12" xfId="0" applyNumberFormat="1" applyFont="1" applyFill="1" applyBorder="1" applyAlignment="1">
      <alignment horizontal="justify" vertical="center"/>
    </xf>
    <xf numFmtId="49" fontId="96" fillId="24" borderId="0" xfId="0" applyNumberFormat="1" applyFont="1" applyFill="1" applyAlignment="1">
      <alignment horizontal="justify" vertical="center"/>
    </xf>
    <xf numFmtId="166" fontId="105" fillId="24" borderId="12" xfId="0" applyNumberFormat="1" applyFont="1" applyFill="1" applyBorder="1" applyAlignment="1">
      <alignment horizontal="justify" vertical="center"/>
    </xf>
    <xf numFmtId="0" fontId="83" fillId="23" borderId="12" xfId="0" applyFont="1" applyFill="1" applyBorder="1" applyAlignment="1">
      <alignment horizontal="justify" vertical="center" wrapText="1"/>
    </xf>
    <xf numFmtId="9" fontId="97" fillId="0" borderId="18" xfId="22" applyFont="1" applyBorder="1" applyAlignment="1">
      <alignment horizontal="justify" vertical="center"/>
    </xf>
    <xf numFmtId="166" fontId="97" fillId="0" borderId="12" xfId="0" applyNumberFormat="1" applyFont="1" applyBorder="1" applyAlignment="1">
      <alignment horizontal="justify" vertical="center"/>
    </xf>
    <xf numFmtId="49" fontId="91" fillId="0" borderId="12" xfId="0" applyNumberFormat="1" applyFont="1" applyBorder="1" applyAlignment="1">
      <alignment horizontal="justify" vertical="center" wrapText="1"/>
    </xf>
    <xf numFmtId="49" fontId="91" fillId="0" borderId="17" xfId="0" applyNumberFormat="1" applyFont="1" applyBorder="1" applyAlignment="1">
      <alignment horizontal="justify" vertical="center" wrapText="1"/>
    </xf>
    <xf numFmtId="9" fontId="47" fillId="14" borderId="13" xfId="22" applyFont="1" applyFill="1" applyBorder="1" applyAlignment="1">
      <alignment horizontal="justify" vertical="center"/>
    </xf>
    <xf numFmtId="166" fontId="97" fillId="14" borderId="13" xfId="0" applyNumberFormat="1" applyFont="1" applyFill="1" applyBorder="1" applyAlignment="1">
      <alignment horizontal="justify" vertical="center"/>
    </xf>
    <xf numFmtId="49" fontId="91" fillId="0" borderId="18" xfId="0" applyNumberFormat="1" applyFont="1" applyBorder="1" applyAlignment="1">
      <alignment horizontal="justify" vertical="center" wrapText="1"/>
    </xf>
    <xf numFmtId="9" fontId="97" fillId="0" borderId="12" xfId="22" applyFont="1" applyFill="1" applyBorder="1" applyAlignment="1">
      <alignment horizontal="justify" vertical="center"/>
    </xf>
    <xf numFmtId="9" fontId="97" fillId="0" borderId="12" xfId="22" applyFont="1" applyBorder="1" applyAlignment="1">
      <alignment horizontal="justify" vertical="center"/>
    </xf>
    <xf numFmtId="166" fontId="101" fillId="0" borderId="12" xfId="0" applyNumberFormat="1" applyFont="1" applyBorder="1" applyAlignment="1">
      <alignment horizontal="justify" vertical="center"/>
    </xf>
    <xf numFmtId="9" fontId="84" fillId="14" borderId="13" xfId="22" applyFont="1" applyFill="1" applyBorder="1" applyAlignment="1">
      <alignment horizontal="justify" vertical="center"/>
    </xf>
    <xf numFmtId="0" fontId="96" fillId="24" borderId="11" xfId="0" applyFont="1" applyFill="1" applyBorder="1" applyAlignment="1">
      <alignment horizontal="justify" vertical="center" wrapText="1"/>
    </xf>
    <xf numFmtId="0" fontId="96" fillId="24" borderId="6" xfId="0" applyFont="1" applyFill="1" applyBorder="1" applyAlignment="1">
      <alignment horizontal="justify" vertical="center" textRotation="90" wrapText="1"/>
    </xf>
    <xf numFmtId="166" fontId="128" fillId="24" borderId="12" xfId="0" applyNumberFormat="1" applyFont="1" applyFill="1" applyBorder="1" applyAlignment="1">
      <alignment horizontal="justify" vertical="center"/>
    </xf>
    <xf numFmtId="0" fontId="100" fillId="24" borderId="12" xfId="0" applyFont="1" applyFill="1" applyBorder="1" applyAlignment="1">
      <alignment horizontal="justify" vertical="center"/>
    </xf>
    <xf numFmtId="0" fontId="96" fillId="24" borderId="26" xfId="0" applyFont="1" applyFill="1" applyBorder="1" applyAlignment="1">
      <alignment horizontal="justify" vertical="center" wrapText="1"/>
    </xf>
    <xf numFmtId="49" fontId="96" fillId="24" borderId="8" xfId="0" applyNumberFormat="1" applyFont="1" applyFill="1" applyBorder="1" applyAlignment="1">
      <alignment horizontal="justify" vertical="center"/>
    </xf>
    <xf numFmtId="0" fontId="96" fillId="24" borderId="11" xfId="0" applyFont="1" applyFill="1" applyBorder="1" applyAlignment="1">
      <alignment horizontal="justify" vertical="center" textRotation="90" wrapText="1"/>
    </xf>
    <xf numFmtId="1" fontId="100" fillId="24" borderId="12" xfId="0" applyNumberFormat="1" applyFont="1" applyFill="1" applyBorder="1" applyAlignment="1">
      <alignment horizontal="justify" vertical="center"/>
    </xf>
    <xf numFmtId="49" fontId="96" fillId="24" borderId="7" xfId="0" applyNumberFormat="1" applyFont="1" applyFill="1" applyBorder="1" applyAlignment="1">
      <alignment horizontal="justify" vertical="center"/>
    </xf>
    <xf numFmtId="0" fontId="96" fillId="24" borderId="7" xfId="0" applyFont="1" applyFill="1" applyBorder="1" applyAlignment="1">
      <alignment horizontal="justify" vertical="center" textRotation="90" wrapText="1"/>
    </xf>
    <xf numFmtId="0" fontId="96" fillId="24" borderId="12" xfId="0" applyFont="1" applyFill="1" applyBorder="1" applyAlignment="1">
      <alignment horizontal="justify" vertical="center" textRotation="90" wrapText="1"/>
    </xf>
    <xf numFmtId="168" fontId="91" fillId="24" borderId="12" xfId="0" applyNumberFormat="1" applyFont="1" applyFill="1" applyBorder="1" applyAlignment="1">
      <alignment horizontal="justify" vertical="center"/>
    </xf>
    <xf numFmtId="0" fontId="123" fillId="24" borderId="12" xfId="0" applyFont="1" applyFill="1" applyBorder="1" applyAlignment="1">
      <alignment horizontal="justify" vertical="center" wrapText="1"/>
    </xf>
    <xf numFmtId="0" fontId="123" fillId="24" borderId="12" xfId="0" applyFont="1" applyFill="1" applyBorder="1" applyAlignment="1">
      <alignment horizontal="justify" vertical="center" textRotation="90" wrapText="1"/>
    </xf>
    <xf numFmtId="0" fontId="123" fillId="26" borderId="12" xfId="0" applyFont="1" applyFill="1" applyBorder="1" applyAlignment="1">
      <alignment horizontal="justify" vertical="center"/>
    </xf>
    <xf numFmtId="166" fontId="124" fillId="24" borderId="12" xfId="0" applyNumberFormat="1" applyFont="1" applyFill="1" applyBorder="1" applyAlignment="1">
      <alignment horizontal="justify" vertical="center"/>
    </xf>
    <xf numFmtId="166" fontId="123" fillId="24" borderId="13" xfId="0" applyNumberFormat="1" applyFont="1" applyFill="1" applyBorder="1" applyAlignment="1">
      <alignment horizontal="justify" vertical="center"/>
    </xf>
    <xf numFmtId="166" fontId="123" fillId="24" borderId="12" xfId="0" applyNumberFormat="1" applyFont="1" applyFill="1" applyBorder="1" applyAlignment="1">
      <alignment horizontal="justify" vertical="center"/>
    </xf>
    <xf numFmtId="166" fontId="126" fillId="24" borderId="12" xfId="0" applyNumberFormat="1" applyFont="1" applyFill="1" applyBorder="1" applyAlignment="1">
      <alignment horizontal="justify" vertical="center"/>
    </xf>
    <xf numFmtId="166" fontId="123" fillId="26" borderId="12" xfId="0" applyNumberFormat="1" applyFont="1" applyFill="1" applyBorder="1" applyAlignment="1">
      <alignment horizontal="justify" vertical="center"/>
    </xf>
    <xf numFmtId="0" fontId="123" fillId="24" borderId="12" xfId="0" applyFont="1" applyFill="1" applyBorder="1" applyAlignment="1">
      <alignment horizontal="justify" vertical="center"/>
    </xf>
    <xf numFmtId="166" fontId="124" fillId="26" borderId="12" xfId="0" applyNumberFormat="1" applyFont="1" applyFill="1" applyBorder="1" applyAlignment="1">
      <alignment horizontal="justify" vertical="center"/>
    </xf>
    <xf numFmtId="0" fontId="123" fillId="24" borderId="12" xfId="0" quotePrefix="1" applyFont="1" applyFill="1" applyBorder="1" applyAlignment="1">
      <alignment horizontal="justify" vertical="center" wrapText="1"/>
    </xf>
    <xf numFmtId="166" fontId="101" fillId="14" borderId="12" xfId="0" applyNumberFormat="1" applyFont="1" applyFill="1" applyBorder="1" applyAlignment="1">
      <alignment horizontal="justify" vertical="center"/>
    </xf>
    <xf numFmtId="168" fontId="104" fillId="24" borderId="12" xfId="0" applyNumberFormat="1" applyFont="1" applyFill="1" applyBorder="1" applyAlignment="1">
      <alignment horizontal="justify" vertical="center"/>
    </xf>
    <xf numFmtId="0" fontId="125" fillId="24" borderId="12" xfId="0" applyFont="1" applyFill="1" applyBorder="1" applyAlignment="1">
      <alignment horizontal="justify" vertical="center" wrapText="1"/>
    </xf>
    <xf numFmtId="0" fontId="125" fillId="24" borderId="12" xfId="0" applyFont="1" applyFill="1" applyBorder="1" applyAlignment="1">
      <alignment horizontal="justify" vertical="center" textRotation="90" wrapText="1"/>
    </xf>
    <xf numFmtId="0" fontId="125" fillId="26" borderId="12" xfId="0" applyFont="1" applyFill="1" applyBorder="1" applyAlignment="1">
      <alignment horizontal="justify" vertical="center"/>
    </xf>
    <xf numFmtId="166" fontId="125" fillId="24" borderId="13" xfId="0" applyNumberFormat="1" applyFont="1" applyFill="1" applyBorder="1" applyAlignment="1">
      <alignment horizontal="justify" vertical="center"/>
    </xf>
    <xf numFmtId="166" fontId="125" fillId="24" borderId="12" xfId="0" applyNumberFormat="1" applyFont="1" applyFill="1" applyBorder="1" applyAlignment="1">
      <alignment horizontal="justify" vertical="center"/>
    </xf>
    <xf numFmtId="166" fontId="125" fillId="26" borderId="12" xfId="0" applyNumberFormat="1" applyFont="1" applyFill="1" applyBorder="1" applyAlignment="1">
      <alignment horizontal="justify" vertical="center"/>
    </xf>
    <xf numFmtId="0" fontId="125" fillId="24" borderId="12" xfId="0" applyFont="1" applyFill="1" applyBorder="1" applyAlignment="1">
      <alignment horizontal="justify" vertical="center"/>
    </xf>
    <xf numFmtId="166" fontId="126" fillId="26" borderId="12" xfId="0" applyNumberFormat="1" applyFont="1" applyFill="1" applyBorder="1" applyAlignment="1">
      <alignment horizontal="justify" vertical="center"/>
    </xf>
    <xf numFmtId="166" fontId="126" fillId="24" borderId="13" xfId="0" applyNumberFormat="1" applyFont="1" applyFill="1" applyBorder="1" applyAlignment="1">
      <alignment horizontal="justify" vertical="center"/>
    </xf>
    <xf numFmtId="0" fontId="125" fillId="24" borderId="12" xfId="0" quotePrefix="1" applyFont="1" applyFill="1" applyBorder="1" applyAlignment="1">
      <alignment horizontal="justify" vertical="center" wrapText="1"/>
    </xf>
    <xf numFmtId="166" fontId="125" fillId="24" borderId="17" xfId="0" applyNumberFormat="1" applyFont="1" applyFill="1" applyBorder="1" applyAlignment="1">
      <alignment horizontal="justify" vertical="center"/>
    </xf>
    <xf numFmtId="166" fontId="97" fillId="14" borderId="17" xfId="0" applyNumberFormat="1" applyFont="1" applyFill="1" applyBorder="1" applyAlignment="1">
      <alignment horizontal="justify" vertical="center"/>
    </xf>
    <xf numFmtId="9" fontId="97" fillId="14" borderId="17" xfId="22" applyFont="1" applyFill="1" applyBorder="1" applyAlignment="1">
      <alignment horizontal="justify" vertical="center"/>
    </xf>
    <xf numFmtId="166" fontId="47" fillId="14" borderId="23" xfId="0" applyNumberFormat="1" applyFont="1" applyFill="1" applyBorder="1" applyAlignment="1">
      <alignment horizontal="justify" vertical="center"/>
    </xf>
    <xf numFmtId="9" fontId="47" fillId="14" borderId="23" xfId="22" applyFont="1" applyFill="1" applyBorder="1" applyAlignment="1">
      <alignment horizontal="justify" vertical="center"/>
    </xf>
    <xf numFmtId="166" fontId="97" fillId="14" borderId="23" xfId="0" applyNumberFormat="1" applyFont="1" applyFill="1" applyBorder="1" applyAlignment="1">
      <alignment horizontal="justify" vertical="center"/>
    </xf>
    <xf numFmtId="0" fontId="47" fillId="52" borderId="12" xfId="0" applyFont="1" applyFill="1" applyBorder="1" applyAlignment="1">
      <alignment horizontal="justify" vertical="center" wrapText="1"/>
    </xf>
    <xf numFmtId="166" fontId="97" fillId="0" borderId="17" xfId="0" applyNumberFormat="1" applyFont="1" applyBorder="1" applyAlignment="1">
      <alignment horizontal="justify" vertical="center"/>
    </xf>
    <xf numFmtId="9" fontId="97" fillId="0" borderId="17" xfId="22" applyFont="1" applyBorder="1" applyAlignment="1">
      <alignment horizontal="justify" vertical="center"/>
    </xf>
    <xf numFmtId="9" fontId="84" fillId="14" borderId="23" xfId="22" applyFont="1" applyFill="1" applyBorder="1" applyAlignment="1">
      <alignment horizontal="justify" vertical="center"/>
    </xf>
    <xf numFmtId="168" fontId="104" fillId="0" borderId="12" xfId="0" applyNumberFormat="1" applyFont="1" applyBorder="1" applyAlignment="1">
      <alignment horizontal="justify" vertical="center"/>
    </xf>
    <xf numFmtId="0" fontId="104" fillId="0" borderId="12" xfId="0" applyFont="1" applyBorder="1" applyAlignment="1">
      <alignment horizontal="justify" vertical="center" wrapText="1"/>
    </xf>
    <xf numFmtId="0" fontId="125" fillId="0" borderId="12" xfId="0" applyFont="1" applyBorder="1" applyAlignment="1">
      <alignment horizontal="justify" vertical="center" textRotation="90" wrapText="1"/>
    </xf>
    <xf numFmtId="0" fontId="104" fillId="0" borderId="7" xfId="0" applyFont="1" applyBorder="1" applyAlignment="1">
      <alignment horizontal="justify" vertical="center"/>
    </xf>
    <xf numFmtId="166" fontId="126" fillId="0" borderId="12" xfId="0" applyNumberFormat="1" applyFont="1" applyBorder="1" applyAlignment="1">
      <alignment horizontal="justify" vertical="center"/>
    </xf>
    <xf numFmtId="166" fontId="127" fillId="0" borderId="13" xfId="0" applyNumberFormat="1" applyFont="1" applyBorder="1" applyAlignment="1">
      <alignment horizontal="justify" vertical="center"/>
    </xf>
    <xf numFmtId="9" fontId="127" fillId="0" borderId="12" xfId="22" applyFont="1" applyBorder="1" applyAlignment="1">
      <alignment horizontal="justify" vertical="center"/>
    </xf>
    <xf numFmtId="166" fontId="111" fillId="0" borderId="12" xfId="0" applyNumberFormat="1" applyFont="1" applyBorder="1" applyAlignment="1">
      <alignment horizontal="justify" vertical="center"/>
    </xf>
    <xf numFmtId="166" fontId="125" fillId="0" borderId="12" xfId="0" applyNumberFormat="1" applyFont="1" applyBorder="1" applyAlignment="1">
      <alignment horizontal="justify" vertical="center"/>
    </xf>
    <xf numFmtId="0" fontId="96" fillId="24" borderId="6" xfId="0" applyFont="1" applyFill="1" applyBorder="1" applyAlignment="1">
      <alignment horizontal="justify" vertical="center" wrapText="1"/>
    </xf>
    <xf numFmtId="166" fontId="48" fillId="24" borderId="20" xfId="0" applyNumberFormat="1" applyFont="1" applyFill="1" applyBorder="1" applyAlignment="1">
      <alignment horizontal="justify" vertical="center"/>
    </xf>
    <xf numFmtId="49" fontId="83" fillId="24" borderId="12" xfId="0" applyNumberFormat="1" applyFont="1" applyFill="1" applyBorder="1" applyAlignment="1">
      <alignment horizontal="justify" vertical="center" wrapText="1"/>
    </xf>
    <xf numFmtId="49" fontId="48" fillId="24" borderId="17" xfId="0" applyNumberFormat="1" applyFont="1" applyFill="1" applyBorder="1" applyAlignment="1">
      <alignment horizontal="justify" vertical="center" wrapText="1"/>
    </xf>
    <xf numFmtId="49" fontId="83" fillId="24" borderId="17" xfId="0" applyNumberFormat="1" applyFont="1" applyFill="1" applyBorder="1" applyAlignment="1">
      <alignment horizontal="justify" vertical="center" wrapText="1"/>
    </xf>
    <xf numFmtId="166" fontId="95" fillId="0" borderId="12" xfId="0" applyNumberFormat="1" applyFont="1" applyBorder="1" applyAlignment="1">
      <alignment horizontal="justify" vertical="center"/>
    </xf>
    <xf numFmtId="0" fontId="48" fillId="24" borderId="6" xfId="0" applyFont="1" applyFill="1" applyBorder="1" applyAlignment="1">
      <alignment horizontal="justify" vertical="center" textRotation="90" wrapText="1"/>
    </xf>
    <xf numFmtId="166" fontId="97" fillId="24" borderId="12" xfId="0" applyNumberFormat="1" applyFont="1" applyFill="1" applyBorder="1" applyAlignment="1">
      <alignment horizontal="justify" vertical="center"/>
    </xf>
    <xf numFmtId="9" fontId="97" fillId="24" borderId="12" xfId="22" applyFont="1" applyFill="1" applyBorder="1" applyAlignment="1">
      <alignment horizontal="justify" vertical="center"/>
    </xf>
    <xf numFmtId="9" fontId="48" fillId="0" borderId="12" xfId="22" applyFont="1" applyBorder="1" applyAlignment="1">
      <alignment horizontal="justify" vertical="center"/>
    </xf>
    <xf numFmtId="9" fontId="47" fillId="0" borderId="13" xfId="22" applyFont="1" applyBorder="1" applyAlignment="1">
      <alignment horizontal="justify" vertical="center"/>
    </xf>
    <xf numFmtId="166" fontId="97" fillId="0" borderId="13" xfId="0" applyNumberFormat="1" applyFont="1" applyBorder="1" applyAlignment="1">
      <alignment horizontal="justify" vertical="center"/>
    </xf>
    <xf numFmtId="9" fontId="97" fillId="0" borderId="17" xfId="22" applyFont="1" applyFill="1" applyBorder="1" applyAlignment="1">
      <alignment horizontal="justify" vertical="center"/>
    </xf>
    <xf numFmtId="9" fontId="47" fillId="0" borderId="12" xfId="22" applyFont="1" applyFill="1" applyBorder="1" applyAlignment="1">
      <alignment horizontal="justify" vertical="center"/>
    </xf>
    <xf numFmtId="166" fontId="83" fillId="0" borderId="18" xfId="0" applyNumberFormat="1" applyFont="1" applyBorder="1" applyAlignment="1">
      <alignment horizontal="justify" vertical="center"/>
    </xf>
    <xf numFmtId="9" fontId="95" fillId="0" borderId="12" xfId="22" applyFont="1" applyBorder="1" applyAlignment="1">
      <alignment horizontal="justify" vertical="center"/>
    </xf>
    <xf numFmtId="166" fontId="101" fillId="0" borderId="17" xfId="0" applyNumberFormat="1" applyFont="1" applyBorder="1" applyAlignment="1">
      <alignment horizontal="justify" vertical="center"/>
    </xf>
    <xf numFmtId="166" fontId="101" fillId="14" borderId="17" xfId="0" applyNumberFormat="1" applyFont="1" applyFill="1" applyBorder="1" applyAlignment="1">
      <alignment horizontal="justify" vertical="center"/>
    </xf>
    <xf numFmtId="0" fontId="96" fillId="38" borderId="12" xfId="0" applyFont="1" applyFill="1" applyBorder="1" applyAlignment="1">
      <alignment horizontal="justify" vertical="center" textRotation="90" wrapText="1"/>
    </xf>
    <xf numFmtId="0" fontId="96" fillId="38" borderId="12" xfId="0" applyFont="1" applyFill="1" applyBorder="1" applyAlignment="1">
      <alignment horizontal="justify" vertical="center"/>
    </xf>
    <xf numFmtId="166" fontId="98" fillId="38" borderId="12" xfId="0" applyNumberFormat="1" applyFont="1" applyFill="1" applyBorder="1" applyAlignment="1">
      <alignment horizontal="justify" vertical="center"/>
    </xf>
    <xf numFmtId="166" fontId="96" fillId="38" borderId="12" xfId="0" applyNumberFormat="1" applyFont="1" applyFill="1" applyBorder="1" applyAlignment="1">
      <alignment horizontal="justify" vertical="center"/>
    </xf>
    <xf numFmtId="166" fontId="111" fillId="38" borderId="12" xfId="0" applyNumberFormat="1" applyFont="1" applyFill="1" applyBorder="1" applyAlignment="1">
      <alignment horizontal="justify" vertical="center"/>
    </xf>
    <xf numFmtId="166" fontId="49" fillId="38" borderId="12" xfId="0" applyNumberFormat="1" applyFont="1" applyFill="1" applyBorder="1" applyAlignment="1">
      <alignment horizontal="justify" vertical="center"/>
    </xf>
    <xf numFmtId="49" fontId="48" fillId="38" borderId="12" xfId="0" applyNumberFormat="1" applyFont="1" applyFill="1" applyBorder="1" applyAlignment="1">
      <alignment horizontal="justify" vertical="center" wrapText="1"/>
    </xf>
    <xf numFmtId="166" fontId="96" fillId="38" borderId="17" xfId="0" applyNumberFormat="1" applyFont="1" applyFill="1" applyBorder="1" applyAlignment="1">
      <alignment horizontal="justify" vertical="center"/>
    </xf>
    <xf numFmtId="49" fontId="48" fillId="38" borderId="17" xfId="0" applyNumberFormat="1" applyFont="1" applyFill="1" applyBorder="1" applyAlignment="1">
      <alignment horizontal="justify" vertical="center" wrapText="1"/>
    </xf>
    <xf numFmtId="0" fontId="96" fillId="38" borderId="18" xfId="0" applyFont="1" applyFill="1" applyBorder="1" applyAlignment="1">
      <alignment horizontal="justify" vertical="center" textRotation="90" wrapText="1"/>
    </xf>
    <xf numFmtId="0" fontId="49" fillId="38" borderId="12" xfId="0" applyFont="1" applyFill="1" applyBorder="1" applyAlignment="1">
      <alignment horizontal="justify" vertical="center"/>
    </xf>
    <xf numFmtId="166" fontId="98" fillId="38" borderId="18" xfId="0" applyNumberFormat="1" applyFont="1" applyFill="1" applyBorder="1" applyAlignment="1">
      <alignment horizontal="justify" vertical="center"/>
    </xf>
    <xf numFmtId="166" fontId="96" fillId="38" borderId="29" xfId="0" applyNumberFormat="1" applyFont="1" applyFill="1" applyBorder="1" applyAlignment="1">
      <alignment horizontal="justify" vertical="center"/>
    </xf>
    <xf numFmtId="166" fontId="95" fillId="0" borderId="17" xfId="0" applyNumberFormat="1" applyFont="1" applyBorder="1" applyAlignment="1">
      <alignment horizontal="justify" vertical="center"/>
    </xf>
    <xf numFmtId="0" fontId="48" fillId="24" borderId="12" xfId="0" applyFont="1" applyFill="1" applyBorder="1" applyAlignment="1">
      <alignment horizontal="justify" vertical="center" textRotation="90" wrapText="1"/>
    </xf>
    <xf numFmtId="166" fontId="95" fillId="24" borderId="12" xfId="0" applyNumberFormat="1" applyFont="1" applyFill="1" applyBorder="1" applyAlignment="1">
      <alignment horizontal="justify" vertical="center"/>
    </xf>
    <xf numFmtId="166" fontId="48" fillId="24" borderId="13" xfId="0" applyNumberFormat="1" applyFont="1" applyFill="1" applyBorder="1" applyAlignment="1">
      <alignment horizontal="justify" vertical="center"/>
    </xf>
    <xf numFmtId="0" fontId="48" fillId="5" borderId="15" xfId="0" applyFont="1" applyFill="1" applyBorder="1" applyAlignment="1">
      <alignment horizontal="justify" vertical="center"/>
    </xf>
    <xf numFmtId="166" fontId="47" fillId="24" borderId="30" xfId="0" applyNumberFormat="1" applyFont="1" applyFill="1" applyBorder="1" applyAlignment="1">
      <alignment horizontal="justify" vertical="center"/>
    </xf>
    <xf numFmtId="166" fontId="97" fillId="0" borderId="20" xfId="0" applyNumberFormat="1" applyFont="1" applyBorder="1" applyAlignment="1">
      <alignment horizontal="justify" vertical="center"/>
    </xf>
    <xf numFmtId="0" fontId="47" fillId="14" borderId="15" xfId="0" applyFont="1" applyFill="1" applyBorder="1" applyAlignment="1">
      <alignment horizontal="justify" vertical="center"/>
    </xf>
    <xf numFmtId="166" fontId="97" fillId="0" borderId="9" xfId="0" applyNumberFormat="1" applyFont="1" applyBorder="1" applyAlignment="1">
      <alignment horizontal="justify" vertical="center"/>
    </xf>
    <xf numFmtId="9" fontId="47" fillId="0" borderId="14" xfId="22" applyFont="1" applyBorder="1" applyAlignment="1">
      <alignment horizontal="justify" vertical="center"/>
    </xf>
    <xf numFmtId="166" fontId="97" fillId="0" borderId="14" xfId="0" applyNumberFormat="1" applyFont="1" applyBorder="1" applyAlignment="1">
      <alignment horizontal="justify" vertical="center"/>
    </xf>
    <xf numFmtId="9" fontId="48" fillId="0" borderId="13" xfId="22" applyFont="1" applyBorder="1" applyAlignment="1">
      <alignment horizontal="justify" vertical="center"/>
    </xf>
    <xf numFmtId="166" fontId="95" fillId="0" borderId="13" xfId="0" applyNumberFormat="1" applyFont="1" applyBorder="1" applyAlignment="1">
      <alignment horizontal="justify" vertical="center"/>
    </xf>
    <xf numFmtId="0" fontId="47" fillId="14" borderId="11" xfId="0" applyFont="1" applyFill="1" applyBorder="1" applyAlignment="1">
      <alignment horizontal="justify" vertical="center"/>
    </xf>
    <xf numFmtId="166" fontId="96" fillId="53" borderId="12" xfId="0" applyNumberFormat="1" applyFont="1" applyFill="1" applyBorder="1" applyAlignment="1">
      <alignment horizontal="justify" vertical="center"/>
    </xf>
    <xf numFmtId="166" fontId="96" fillId="24" borderId="23" xfId="0" applyNumberFormat="1" applyFont="1" applyFill="1" applyBorder="1" applyAlignment="1">
      <alignment horizontal="justify" vertical="center"/>
    </xf>
    <xf numFmtId="166" fontId="96" fillId="19" borderId="17" xfId="0" applyNumberFormat="1" applyFont="1" applyFill="1" applyBorder="1" applyAlignment="1">
      <alignment horizontal="justify" vertical="center"/>
    </xf>
    <xf numFmtId="0" fontId="47" fillId="0" borderId="12" xfId="0" applyFont="1" applyBorder="1" applyAlignment="1">
      <alignment horizontal="justify" vertical="center"/>
    </xf>
    <xf numFmtId="0" fontId="96" fillId="24" borderId="13" xfId="0" applyFont="1" applyFill="1" applyBorder="1" applyAlignment="1">
      <alignment horizontal="justify" vertical="center" textRotation="90" wrapText="1"/>
    </xf>
    <xf numFmtId="49" fontId="96" fillId="20" borderId="12" xfId="0" applyNumberFormat="1" applyFont="1" applyFill="1" applyBorder="1" applyAlignment="1">
      <alignment horizontal="justify" vertical="center" wrapText="1"/>
    </xf>
    <xf numFmtId="0" fontId="96" fillId="20" borderId="12" xfId="0" applyFont="1" applyFill="1" applyBorder="1" applyAlignment="1">
      <alignment horizontal="justify" vertical="center" textRotation="90" wrapText="1"/>
    </xf>
    <xf numFmtId="0" fontId="96" fillId="20" borderId="12" xfId="0" applyFont="1" applyFill="1" applyBorder="1" applyAlignment="1">
      <alignment horizontal="justify" vertical="center"/>
    </xf>
    <xf numFmtId="166" fontId="98" fillId="20" borderId="12" xfId="0" applyNumberFormat="1" applyFont="1" applyFill="1" applyBorder="1" applyAlignment="1">
      <alignment horizontal="justify" vertical="center"/>
    </xf>
    <xf numFmtId="166" fontId="49" fillId="20" borderId="12" xfId="0" applyNumberFormat="1" applyFont="1" applyFill="1" applyBorder="1" applyAlignment="1">
      <alignment horizontal="justify" vertical="center"/>
    </xf>
    <xf numFmtId="166" fontId="105" fillId="20" borderId="12" xfId="0" applyNumberFormat="1" applyFont="1" applyFill="1" applyBorder="1" applyAlignment="1">
      <alignment horizontal="justify" vertical="center"/>
    </xf>
    <xf numFmtId="166" fontId="96" fillId="20" borderId="12" xfId="0" applyNumberFormat="1" applyFont="1" applyFill="1" applyBorder="1" applyAlignment="1">
      <alignment horizontal="justify" vertical="center"/>
    </xf>
    <xf numFmtId="166" fontId="111" fillId="20" borderId="12" xfId="0" applyNumberFormat="1" applyFont="1" applyFill="1" applyBorder="1" applyAlignment="1">
      <alignment horizontal="justify" vertical="center"/>
    </xf>
    <xf numFmtId="0" fontId="49" fillId="20" borderId="12" xfId="0" applyFont="1" applyFill="1" applyBorder="1" applyAlignment="1">
      <alignment horizontal="justify" vertical="center"/>
    </xf>
    <xf numFmtId="166" fontId="47" fillId="24" borderId="36" xfId="0" applyNumberFormat="1" applyFont="1" applyFill="1" applyBorder="1" applyAlignment="1">
      <alignment horizontal="justify" vertical="center"/>
    </xf>
    <xf numFmtId="0" fontId="96" fillId="41" borderId="12" xfId="0" applyFont="1" applyFill="1" applyBorder="1" applyAlignment="1">
      <alignment horizontal="justify" vertical="center"/>
    </xf>
    <xf numFmtId="166" fontId="49" fillId="41" borderId="13" xfId="0" applyNumberFormat="1" applyFont="1" applyFill="1" applyBorder="1" applyAlignment="1">
      <alignment horizontal="justify" vertical="center"/>
    </xf>
    <xf numFmtId="166" fontId="111" fillId="41" borderId="12" xfId="0" applyNumberFormat="1" applyFont="1" applyFill="1" applyBorder="1" applyAlignment="1">
      <alignment horizontal="justify" vertical="center"/>
    </xf>
    <xf numFmtId="166" fontId="49" fillId="41" borderId="23" xfId="0" applyNumberFormat="1" applyFont="1" applyFill="1" applyBorder="1" applyAlignment="1">
      <alignment horizontal="justify" vertical="center"/>
    </xf>
    <xf numFmtId="49" fontId="48" fillId="41" borderId="20" xfId="0" applyNumberFormat="1" applyFont="1" applyFill="1" applyBorder="1" applyAlignment="1">
      <alignment horizontal="justify" vertical="center" wrapText="1"/>
    </xf>
    <xf numFmtId="49" fontId="48" fillId="41" borderId="18" xfId="0" applyNumberFormat="1" applyFont="1" applyFill="1" applyBorder="1" applyAlignment="1">
      <alignment horizontal="justify" vertical="center" wrapText="1"/>
    </xf>
    <xf numFmtId="166" fontId="49" fillId="24" borderId="29" xfId="0" applyNumberFormat="1" applyFont="1" applyFill="1" applyBorder="1" applyAlignment="1">
      <alignment horizontal="justify" vertical="center"/>
    </xf>
    <xf numFmtId="166" fontId="101" fillId="0" borderId="13" xfId="0" applyNumberFormat="1" applyFont="1" applyBorder="1" applyAlignment="1">
      <alignment horizontal="justify" vertical="center"/>
    </xf>
    <xf numFmtId="0" fontId="48" fillId="0" borderId="14" xfId="0" applyFont="1" applyBorder="1" applyAlignment="1">
      <alignment horizontal="justify" vertical="center"/>
    </xf>
    <xf numFmtId="166" fontId="47" fillId="28" borderId="13" xfId="0" applyNumberFormat="1" applyFont="1" applyFill="1" applyBorder="1" applyAlignment="1">
      <alignment horizontal="justify" vertical="center"/>
    </xf>
    <xf numFmtId="9" fontId="47" fillId="28" borderId="12" xfId="22" applyFont="1" applyFill="1" applyBorder="1" applyAlignment="1">
      <alignment horizontal="justify" vertical="center"/>
    </xf>
    <xf numFmtId="166" fontId="97" fillId="28" borderId="12" xfId="0" applyNumberFormat="1" applyFont="1" applyFill="1" applyBorder="1" applyAlignment="1">
      <alignment horizontal="justify" vertical="center"/>
    </xf>
    <xf numFmtId="166" fontId="101" fillId="28" borderId="12" xfId="0" applyNumberFormat="1" applyFont="1" applyFill="1" applyBorder="1" applyAlignment="1">
      <alignment horizontal="justify" vertical="center"/>
    </xf>
    <xf numFmtId="166" fontId="47" fillId="28" borderId="29" xfId="0" applyNumberFormat="1" applyFont="1" applyFill="1" applyBorder="1" applyAlignment="1">
      <alignment horizontal="justify" vertical="center"/>
    </xf>
    <xf numFmtId="166" fontId="97" fillId="14" borderId="18" xfId="0" applyNumberFormat="1" applyFont="1" applyFill="1" applyBorder="1" applyAlignment="1">
      <alignment horizontal="justify" vertical="center"/>
    </xf>
    <xf numFmtId="166" fontId="47" fillId="14" borderId="29" xfId="0" applyNumberFormat="1" applyFont="1" applyFill="1" applyBorder="1" applyAlignment="1">
      <alignment horizontal="justify" vertical="center"/>
    </xf>
    <xf numFmtId="0" fontId="96" fillId="38" borderId="14" xfId="0" applyFont="1" applyFill="1" applyBorder="1" applyAlignment="1">
      <alignment horizontal="justify" vertical="center"/>
    </xf>
    <xf numFmtId="0" fontId="49" fillId="38" borderId="6" xfId="0" applyFont="1" applyFill="1" applyBorder="1" applyAlignment="1">
      <alignment horizontal="justify" vertical="center"/>
    </xf>
    <xf numFmtId="166" fontId="49" fillId="38" borderId="29" xfId="0" applyNumberFormat="1" applyFont="1" applyFill="1" applyBorder="1" applyAlignment="1">
      <alignment horizontal="justify" vertical="center"/>
    </xf>
    <xf numFmtId="166" fontId="105" fillId="38" borderId="12" xfId="0" applyNumberFormat="1" applyFont="1" applyFill="1" applyBorder="1" applyAlignment="1">
      <alignment horizontal="justify" vertical="center"/>
    </xf>
    <xf numFmtId="166" fontId="48" fillId="38" borderId="12" xfId="0" applyNumberFormat="1" applyFont="1" applyFill="1" applyBorder="1" applyAlignment="1">
      <alignment horizontal="justify" vertical="center"/>
    </xf>
    <xf numFmtId="0" fontId="96" fillId="24" borderId="14" xfId="0" applyFont="1" applyFill="1" applyBorder="1" applyAlignment="1">
      <alignment horizontal="justify" vertical="center"/>
    </xf>
    <xf numFmtId="0" fontId="96" fillId="19" borderId="14" xfId="0" applyFont="1" applyFill="1" applyBorder="1" applyAlignment="1">
      <alignment horizontal="justify" vertical="center"/>
    </xf>
    <xf numFmtId="0" fontId="49" fillId="19" borderId="6" xfId="0" applyFont="1" applyFill="1" applyBorder="1" applyAlignment="1">
      <alignment horizontal="justify" vertical="center"/>
    </xf>
    <xf numFmtId="166" fontId="98" fillId="19" borderId="18" xfId="0" applyNumberFormat="1" applyFont="1" applyFill="1" applyBorder="1" applyAlignment="1">
      <alignment horizontal="justify" vertical="center"/>
    </xf>
    <xf numFmtId="166" fontId="49" fillId="19" borderId="29" xfId="0" applyNumberFormat="1" applyFont="1" applyFill="1" applyBorder="1" applyAlignment="1">
      <alignment horizontal="justify" vertical="center"/>
    </xf>
    <xf numFmtId="166" fontId="49" fillId="19" borderId="12" xfId="0" applyNumberFormat="1" applyFont="1" applyFill="1" applyBorder="1" applyAlignment="1">
      <alignment horizontal="justify" vertical="center"/>
    </xf>
    <xf numFmtId="166" fontId="111" fillId="19" borderId="12" xfId="0" applyNumberFormat="1" applyFont="1" applyFill="1" applyBorder="1" applyAlignment="1">
      <alignment horizontal="justify" vertical="center"/>
    </xf>
    <xf numFmtId="166" fontId="96" fillId="19" borderId="12" xfId="0" applyNumberFormat="1" applyFont="1" applyFill="1" applyBorder="1" applyAlignment="1">
      <alignment horizontal="justify" vertical="center"/>
    </xf>
    <xf numFmtId="166" fontId="48" fillId="19" borderId="12" xfId="0" applyNumberFormat="1" applyFont="1" applyFill="1" applyBorder="1" applyAlignment="1">
      <alignment horizontal="justify" vertical="center"/>
    </xf>
    <xf numFmtId="49" fontId="48" fillId="19" borderId="12" xfId="0" applyNumberFormat="1" applyFont="1" applyFill="1" applyBorder="1" applyAlignment="1">
      <alignment horizontal="justify" vertical="center" wrapText="1"/>
    </xf>
    <xf numFmtId="166" fontId="100" fillId="19" borderId="12" xfId="0" applyNumberFormat="1" applyFont="1" applyFill="1" applyBorder="1" applyAlignment="1">
      <alignment horizontal="justify" vertical="center"/>
    </xf>
    <xf numFmtId="9" fontId="47" fillId="0" borderId="23" xfId="22" applyFont="1" applyBorder="1" applyAlignment="1">
      <alignment horizontal="justify" vertical="center"/>
    </xf>
    <xf numFmtId="166" fontId="101" fillId="14" borderId="13" xfId="0" applyNumberFormat="1" applyFont="1" applyFill="1" applyBorder="1" applyAlignment="1">
      <alignment horizontal="justify" vertical="center"/>
    </xf>
    <xf numFmtId="166" fontId="96" fillId="24" borderId="27" xfId="0" applyNumberFormat="1" applyFont="1" applyFill="1" applyBorder="1" applyAlignment="1">
      <alignment horizontal="center" vertical="center"/>
    </xf>
    <xf numFmtId="166" fontId="96" fillId="24" borderId="15" xfId="0" applyNumberFormat="1" applyFont="1" applyFill="1" applyBorder="1" applyAlignment="1">
      <alignment horizontal="center" vertical="center"/>
    </xf>
    <xf numFmtId="166" fontId="123" fillId="24" borderId="15" xfId="0" applyNumberFormat="1" applyFont="1" applyFill="1" applyBorder="1" applyAlignment="1">
      <alignment horizontal="center" vertical="center"/>
    </xf>
    <xf numFmtId="166" fontId="125" fillId="24" borderId="15" xfId="0" applyNumberFormat="1" applyFont="1" applyFill="1" applyBorder="1" applyAlignment="1">
      <alignment horizontal="center" vertical="center"/>
    </xf>
    <xf numFmtId="166" fontId="125" fillId="26" borderId="15" xfId="0" applyNumberFormat="1" applyFont="1" applyFill="1" applyBorder="1" applyAlignment="1">
      <alignment horizontal="center" vertical="center"/>
    </xf>
    <xf numFmtId="166" fontId="125" fillId="24" borderId="27" xfId="0" applyNumberFormat="1" applyFont="1" applyFill="1" applyBorder="1" applyAlignment="1">
      <alignment horizontal="center" vertical="center"/>
    </xf>
    <xf numFmtId="166" fontId="49" fillId="24" borderId="27" xfId="0" applyNumberFormat="1" applyFont="1" applyFill="1" applyBorder="1" applyAlignment="1">
      <alignment horizontal="center" vertical="center"/>
    </xf>
    <xf numFmtId="166" fontId="47" fillId="24" borderId="0" xfId="0" applyNumberFormat="1" applyFont="1" applyFill="1" applyAlignment="1">
      <alignment horizontal="center" vertical="center"/>
    </xf>
    <xf numFmtId="166" fontId="47" fillId="24" borderId="30" xfId="0" applyNumberFormat="1" applyFont="1" applyFill="1" applyBorder="1" applyAlignment="1">
      <alignment horizontal="center" vertical="center"/>
    </xf>
    <xf numFmtId="166" fontId="96" fillId="24" borderId="28" xfId="0" applyNumberFormat="1" applyFont="1" applyFill="1" applyBorder="1" applyAlignment="1">
      <alignment horizontal="center" vertical="center"/>
    </xf>
    <xf numFmtId="166" fontId="83" fillId="0" borderId="0" xfId="0" applyNumberFormat="1" applyFont="1" applyAlignment="1">
      <alignment horizontal="center" vertical="center" wrapText="1"/>
    </xf>
    <xf numFmtId="0" fontId="136" fillId="0" borderId="0" xfId="0" applyFont="1" applyAlignment="1">
      <alignment horizontal="center"/>
    </xf>
    <xf numFmtId="166" fontId="136" fillId="0" borderId="0" xfId="0" applyNumberFormat="1" applyFont="1" applyAlignment="1">
      <alignment horizontal="center"/>
    </xf>
    <xf numFmtId="0" fontId="29" fillId="0" borderId="0" xfId="0" applyFont="1" applyAlignment="1">
      <alignment horizontal="left" vertical="center" wrapText="1"/>
    </xf>
    <xf numFmtId="0" fontId="51" fillId="0" borderId="0" xfId="0" applyFont="1" applyAlignment="1">
      <alignment horizontal="left" vertical="center" wrapText="1"/>
    </xf>
    <xf numFmtId="0" fontId="49" fillId="18" borderId="17" xfId="0" applyFont="1" applyFill="1" applyBorder="1" applyAlignment="1">
      <alignment horizontal="left" vertical="center"/>
    </xf>
    <xf numFmtId="166" fontId="48" fillId="0" borderId="12" xfId="0" applyNumberFormat="1" applyFont="1" applyBorder="1" applyAlignment="1">
      <alignment horizontal="left" vertical="center" wrapText="1"/>
    </xf>
    <xf numFmtId="166" fontId="83" fillId="23" borderId="12" xfId="0" applyNumberFormat="1" applyFont="1" applyFill="1" applyBorder="1" applyAlignment="1">
      <alignment horizontal="justify" vertical="center"/>
    </xf>
    <xf numFmtId="49" fontId="48" fillId="0" borderId="29" xfId="0" applyNumberFormat="1" applyFont="1" applyBorder="1" applyAlignment="1">
      <alignment horizontal="justify" vertical="center" wrapText="1"/>
    </xf>
    <xf numFmtId="166" fontId="83" fillId="14" borderId="12" xfId="0" applyNumberFormat="1" applyFont="1" applyFill="1" applyBorder="1" applyAlignment="1">
      <alignment horizontal="justify" vertical="center"/>
    </xf>
    <xf numFmtId="9" fontId="84" fillId="0" borderId="18" xfId="22" applyFont="1" applyFill="1" applyBorder="1" applyAlignment="1">
      <alignment horizontal="justify" vertical="center"/>
    </xf>
    <xf numFmtId="49" fontId="48" fillId="24" borderId="9" xfId="0" applyNumberFormat="1" applyFont="1" applyFill="1" applyBorder="1" applyAlignment="1">
      <alignment horizontal="justify" vertical="center" wrapText="1"/>
    </xf>
    <xf numFmtId="49" fontId="48" fillId="24" borderId="18" xfId="0" applyNumberFormat="1" applyFont="1" applyFill="1" applyBorder="1" applyAlignment="1">
      <alignment horizontal="justify" vertical="center" textRotation="90"/>
    </xf>
    <xf numFmtId="166" fontId="84" fillId="24" borderId="18" xfId="0" applyNumberFormat="1" applyFont="1" applyFill="1" applyBorder="1" applyAlignment="1">
      <alignment horizontal="justify" vertical="center"/>
    </xf>
    <xf numFmtId="166" fontId="83" fillId="14" borderId="17" xfId="0" applyNumberFormat="1" applyFont="1" applyFill="1" applyBorder="1" applyAlignment="1">
      <alignment horizontal="justify" vertical="center"/>
    </xf>
    <xf numFmtId="49" fontId="47" fillId="0" borderId="29" xfId="0" applyNumberFormat="1" applyFont="1" applyBorder="1" applyAlignment="1">
      <alignment horizontal="justify" vertical="center" wrapText="1"/>
    </xf>
    <xf numFmtId="49" fontId="48" fillId="41" borderId="18" xfId="0" applyNumberFormat="1" applyFont="1" applyFill="1" applyBorder="1" applyAlignment="1">
      <alignment horizontal="justify" vertical="center"/>
    </xf>
    <xf numFmtId="166" fontId="84" fillId="41" borderId="18" xfId="0" applyNumberFormat="1" applyFont="1" applyFill="1" applyBorder="1" applyAlignment="1">
      <alignment horizontal="justify" vertical="center"/>
    </xf>
    <xf numFmtId="166" fontId="83" fillId="41" borderId="12" xfId="0" applyNumberFormat="1" applyFont="1" applyFill="1" applyBorder="1" applyAlignment="1">
      <alignment horizontal="justify" vertical="center"/>
    </xf>
    <xf numFmtId="49" fontId="48" fillId="41" borderId="29" xfId="0" applyNumberFormat="1" applyFont="1" applyFill="1" applyBorder="1" applyAlignment="1">
      <alignment horizontal="justify" vertical="center" wrapText="1"/>
    </xf>
    <xf numFmtId="166" fontId="48" fillId="41" borderId="12" xfId="0" applyNumberFormat="1" applyFont="1" applyFill="1" applyBorder="1" applyAlignment="1">
      <alignment horizontal="justify" vertical="center"/>
    </xf>
    <xf numFmtId="0" fontId="47" fillId="41" borderId="12" xfId="0" applyFont="1" applyFill="1" applyBorder="1" applyAlignment="1">
      <alignment horizontal="justify" vertical="center"/>
    </xf>
    <xf numFmtId="49" fontId="48" fillId="0" borderId="15" xfId="0" applyNumberFormat="1" applyFont="1" applyBorder="1" applyAlignment="1">
      <alignment horizontal="justify" vertical="center" wrapText="1"/>
    </xf>
    <xf numFmtId="166" fontId="47" fillId="28" borderId="12" xfId="0" applyNumberFormat="1" applyFont="1" applyFill="1" applyBorder="1" applyAlignment="1">
      <alignment horizontal="justify" vertical="center"/>
    </xf>
    <xf numFmtId="166" fontId="49" fillId="24" borderId="36" xfId="0" applyNumberFormat="1" applyFont="1" applyFill="1" applyBorder="1" applyAlignment="1">
      <alignment horizontal="justify" vertical="center"/>
    </xf>
    <xf numFmtId="49" fontId="96" fillId="24" borderId="13" xfId="0" applyNumberFormat="1" applyFont="1" applyFill="1" applyBorder="1" applyAlignment="1">
      <alignment horizontal="justify" vertical="center" wrapText="1"/>
    </xf>
    <xf numFmtId="49" fontId="96" fillId="11" borderId="18" xfId="0" applyNumberFormat="1" applyFont="1" applyFill="1" applyBorder="1" applyAlignment="1">
      <alignment horizontal="justify" vertical="center"/>
    </xf>
    <xf numFmtId="166" fontId="98" fillId="11" borderId="18" xfId="0" applyNumberFormat="1" applyFont="1" applyFill="1" applyBorder="1" applyAlignment="1">
      <alignment horizontal="justify" vertical="center"/>
    </xf>
    <xf numFmtId="166" fontId="49" fillId="11" borderId="12" xfId="0" applyNumberFormat="1" applyFont="1" applyFill="1" applyBorder="1" applyAlignment="1">
      <alignment horizontal="justify" vertical="center"/>
    </xf>
    <xf numFmtId="166" fontId="100" fillId="11" borderId="12" xfId="0" applyNumberFormat="1" applyFont="1" applyFill="1" applyBorder="1" applyAlignment="1">
      <alignment horizontal="justify" vertical="center"/>
    </xf>
    <xf numFmtId="166" fontId="96" fillId="11" borderId="12" xfId="0" applyNumberFormat="1" applyFont="1" applyFill="1" applyBorder="1" applyAlignment="1">
      <alignment horizontal="justify" vertical="center"/>
    </xf>
    <xf numFmtId="49" fontId="96" fillId="11" borderId="12" xfId="0" applyNumberFormat="1" applyFont="1" applyFill="1" applyBorder="1" applyAlignment="1">
      <alignment horizontal="justify" vertical="center" wrapText="1"/>
    </xf>
    <xf numFmtId="0" fontId="49" fillId="11" borderId="12" xfId="0" applyFont="1" applyFill="1" applyBorder="1" applyAlignment="1">
      <alignment horizontal="justify" vertical="center"/>
    </xf>
    <xf numFmtId="166" fontId="98" fillId="11" borderId="12" xfId="0" applyNumberFormat="1" applyFont="1" applyFill="1" applyBorder="1" applyAlignment="1">
      <alignment horizontal="justify" vertical="center"/>
    </xf>
    <xf numFmtId="49" fontId="96" fillId="18" borderId="18" xfId="0" applyNumberFormat="1" applyFont="1" applyFill="1" applyBorder="1" applyAlignment="1">
      <alignment horizontal="justify" vertical="center"/>
    </xf>
    <xf numFmtId="166" fontId="98" fillId="18" borderId="18" xfId="0" applyNumberFormat="1" applyFont="1" applyFill="1" applyBorder="1" applyAlignment="1">
      <alignment horizontal="justify" vertical="center"/>
    </xf>
    <xf numFmtId="166" fontId="49" fillId="18" borderId="12" xfId="0" applyNumberFormat="1" applyFont="1" applyFill="1" applyBorder="1" applyAlignment="1">
      <alignment horizontal="justify" vertical="center"/>
    </xf>
    <xf numFmtId="166" fontId="100" fillId="18" borderId="12" xfId="0" applyNumberFormat="1" applyFont="1" applyFill="1" applyBorder="1" applyAlignment="1">
      <alignment horizontal="justify" vertical="center"/>
    </xf>
    <xf numFmtId="166" fontId="96" fillId="18" borderId="12" xfId="0" applyNumberFormat="1" applyFont="1" applyFill="1" applyBorder="1" applyAlignment="1">
      <alignment horizontal="justify" vertical="center"/>
    </xf>
    <xf numFmtId="0" fontId="49" fillId="18" borderId="12" xfId="0" applyFont="1" applyFill="1" applyBorder="1" applyAlignment="1">
      <alignment horizontal="justify" vertical="center"/>
    </xf>
    <xf numFmtId="166" fontId="98" fillId="18" borderId="12" xfId="0" applyNumberFormat="1" applyFont="1" applyFill="1" applyBorder="1" applyAlignment="1">
      <alignment horizontal="justify" vertical="center"/>
    </xf>
    <xf numFmtId="166" fontId="48" fillId="14" borderId="12" xfId="0" applyNumberFormat="1" applyFont="1" applyFill="1" applyBorder="1" applyAlignment="1">
      <alignment horizontal="justify" vertical="center"/>
    </xf>
    <xf numFmtId="166" fontId="93" fillId="0" borderId="12" xfId="0" applyNumberFormat="1" applyFont="1" applyBorder="1" applyAlignment="1">
      <alignment horizontal="justify" vertical="center"/>
    </xf>
    <xf numFmtId="166" fontId="84" fillId="0" borderId="20" xfId="0" applyNumberFormat="1" applyFont="1" applyBorder="1" applyAlignment="1">
      <alignment horizontal="justify" vertical="center"/>
    </xf>
    <xf numFmtId="166" fontId="49" fillId="11" borderId="18" xfId="0" applyNumberFormat="1" applyFont="1" applyFill="1" applyBorder="1" applyAlignment="1">
      <alignment horizontal="justify" vertical="center"/>
    </xf>
    <xf numFmtId="166" fontId="47" fillId="23" borderId="15" xfId="0" applyNumberFormat="1" applyFont="1" applyFill="1" applyBorder="1" applyAlignment="1">
      <alignment horizontal="justify" vertical="center"/>
    </xf>
    <xf numFmtId="49" fontId="47" fillId="23" borderId="13" xfId="0" applyNumberFormat="1" applyFont="1" applyFill="1" applyBorder="1" applyAlignment="1">
      <alignment horizontal="justify" vertical="center" wrapText="1"/>
    </xf>
    <xf numFmtId="49" fontId="47" fillId="23" borderId="15" xfId="0" applyNumberFormat="1" applyFont="1" applyFill="1" applyBorder="1" applyAlignment="1">
      <alignment horizontal="justify" vertical="center" wrapText="1"/>
    </xf>
    <xf numFmtId="9" fontId="93" fillId="0" borderId="12" xfId="22" applyFont="1" applyBorder="1" applyAlignment="1">
      <alignment horizontal="justify" vertical="center"/>
    </xf>
    <xf numFmtId="49" fontId="96" fillId="44" borderId="18" xfId="0" applyNumberFormat="1" applyFont="1" applyFill="1" applyBorder="1" applyAlignment="1">
      <alignment horizontal="justify" vertical="center"/>
    </xf>
    <xf numFmtId="166" fontId="98" fillId="44" borderId="18" xfId="0" applyNumberFormat="1" applyFont="1" applyFill="1" applyBorder="1" applyAlignment="1">
      <alignment horizontal="justify" vertical="center"/>
    </xf>
    <xf numFmtId="166" fontId="49" fillId="44" borderId="12" xfId="0" applyNumberFormat="1" applyFont="1" applyFill="1" applyBorder="1" applyAlignment="1">
      <alignment horizontal="justify" vertical="center"/>
    </xf>
    <xf numFmtId="166" fontId="100" fillId="44" borderId="12" xfId="0" applyNumberFormat="1" applyFont="1" applyFill="1" applyBorder="1" applyAlignment="1">
      <alignment horizontal="justify" vertical="center"/>
    </xf>
    <xf numFmtId="166" fontId="96" fillId="44" borderId="12" xfId="0" applyNumberFormat="1" applyFont="1" applyFill="1" applyBorder="1" applyAlignment="1">
      <alignment horizontal="justify" vertical="center"/>
    </xf>
    <xf numFmtId="0" fontId="49" fillId="44" borderId="12" xfId="0" applyFont="1" applyFill="1" applyBorder="1" applyAlignment="1">
      <alignment horizontal="justify" vertical="center"/>
    </xf>
    <xf numFmtId="166" fontId="98" fillId="44" borderId="12" xfId="0" applyNumberFormat="1" applyFont="1" applyFill="1" applyBorder="1" applyAlignment="1">
      <alignment horizontal="justify" vertical="center"/>
    </xf>
    <xf numFmtId="49" fontId="48" fillId="0" borderId="25" xfId="0" applyNumberFormat="1" applyFont="1" applyBorder="1" applyAlignment="1">
      <alignment horizontal="justify" vertical="center"/>
    </xf>
    <xf numFmtId="166" fontId="83" fillId="28" borderId="12" xfId="0" applyNumberFormat="1" applyFont="1" applyFill="1" applyBorder="1" applyAlignment="1">
      <alignment horizontal="justify" vertical="center"/>
    </xf>
    <xf numFmtId="0" fontId="48" fillId="41" borderId="6" xfId="0" applyFont="1" applyFill="1" applyBorder="1" applyAlignment="1">
      <alignment horizontal="justify" vertical="center"/>
    </xf>
    <xf numFmtId="0" fontId="48" fillId="41" borderId="7" xfId="0" applyFont="1" applyFill="1" applyBorder="1" applyAlignment="1">
      <alignment horizontal="justify" vertical="center"/>
    </xf>
    <xf numFmtId="0" fontId="47" fillId="41" borderId="7" xfId="0" applyFont="1" applyFill="1" applyBorder="1" applyAlignment="1">
      <alignment horizontal="justify" vertical="center"/>
    </xf>
    <xf numFmtId="0" fontId="47" fillId="42" borderId="12" xfId="0" applyFont="1" applyFill="1" applyBorder="1" applyAlignment="1">
      <alignment horizontal="justify" vertical="center" wrapText="1"/>
    </xf>
    <xf numFmtId="166" fontId="47" fillId="41" borderId="15" xfId="0" applyNumberFormat="1" applyFont="1" applyFill="1" applyBorder="1" applyAlignment="1">
      <alignment horizontal="justify" vertical="center"/>
    </xf>
    <xf numFmtId="0" fontId="47" fillId="41" borderId="6" xfId="0" applyFont="1" applyFill="1" applyBorder="1" applyAlignment="1">
      <alignment horizontal="justify" vertical="center"/>
    </xf>
    <xf numFmtId="49" fontId="48" fillId="41" borderId="0" xfId="0" applyNumberFormat="1" applyFont="1" applyFill="1" applyAlignment="1">
      <alignment horizontal="justify" vertical="center"/>
    </xf>
    <xf numFmtId="0" fontId="48" fillId="42" borderId="0" xfId="0" applyFont="1" applyFill="1" applyAlignment="1">
      <alignment horizontal="justify" vertical="center" wrapText="1"/>
    </xf>
    <xf numFmtId="0" fontId="48" fillId="42" borderId="0" xfId="0" applyFont="1" applyFill="1" applyAlignment="1">
      <alignment horizontal="justify" vertical="center" textRotation="90" wrapText="1"/>
    </xf>
    <xf numFmtId="0" fontId="48" fillId="41" borderId="0" xfId="0" applyFont="1" applyFill="1" applyAlignment="1">
      <alignment horizontal="justify" vertical="center"/>
    </xf>
    <xf numFmtId="166" fontId="48" fillId="41" borderId="30" xfId="0" applyNumberFormat="1" applyFont="1" applyFill="1" applyBorder="1" applyAlignment="1">
      <alignment horizontal="justify" vertical="center"/>
    </xf>
    <xf numFmtId="166" fontId="48" fillId="41" borderId="38" xfId="0" applyNumberFormat="1" applyFont="1" applyFill="1" applyBorder="1" applyAlignment="1">
      <alignment horizontal="justify" vertical="center"/>
    </xf>
    <xf numFmtId="49" fontId="48" fillId="41" borderId="27" xfId="0" applyNumberFormat="1" applyFont="1" applyFill="1" applyBorder="1" applyAlignment="1">
      <alignment horizontal="justify" vertical="center" wrapText="1"/>
    </xf>
    <xf numFmtId="166" fontId="96" fillId="11" borderId="18" xfId="0" applyNumberFormat="1" applyFont="1" applyFill="1" applyBorder="1" applyAlignment="1">
      <alignment horizontal="justify" vertical="center"/>
    </xf>
    <xf numFmtId="0" fontId="48" fillId="0" borderId="15" xfId="0" applyFont="1" applyBorder="1" applyAlignment="1">
      <alignment horizontal="justify" vertical="center"/>
    </xf>
    <xf numFmtId="0" fontId="47" fillId="11" borderId="12" xfId="0" applyFont="1" applyFill="1" applyBorder="1" applyAlignment="1">
      <alignment vertical="center" wrapText="1"/>
    </xf>
    <xf numFmtId="0" fontId="91" fillId="0" borderId="0" xfId="0" applyFont="1" applyAlignment="1">
      <alignment vertical="center"/>
    </xf>
    <xf numFmtId="0" fontId="101" fillId="23" borderId="12" xfId="0" applyFont="1" applyFill="1" applyBorder="1" applyAlignment="1">
      <alignment horizontal="justify" vertical="center"/>
    </xf>
    <xf numFmtId="0" fontId="101" fillId="23" borderId="12" xfId="0" applyFont="1" applyFill="1" applyBorder="1" applyAlignment="1">
      <alignment horizontal="justify" vertical="center" wrapText="1"/>
    </xf>
    <xf numFmtId="166" fontId="97" fillId="23" borderId="12" xfId="0" applyNumberFormat="1" applyFont="1" applyFill="1" applyBorder="1" applyAlignment="1">
      <alignment horizontal="justify" vertical="center"/>
    </xf>
    <xf numFmtId="9" fontId="97" fillId="23" borderId="12" xfId="22" applyFont="1" applyFill="1" applyBorder="1" applyAlignment="1">
      <alignment horizontal="justify" vertical="center"/>
    </xf>
    <xf numFmtId="166" fontId="101" fillId="23" borderId="12" xfId="0" applyNumberFormat="1" applyFont="1" applyFill="1" applyBorder="1" applyAlignment="1">
      <alignment horizontal="justify" vertical="center"/>
    </xf>
    <xf numFmtId="49" fontId="101" fillId="23" borderId="12" xfId="0" applyNumberFormat="1" applyFont="1" applyFill="1" applyBorder="1" applyAlignment="1">
      <alignment horizontal="justify" vertical="center" wrapText="1"/>
    </xf>
    <xf numFmtId="49" fontId="91" fillId="0" borderId="12" xfId="0" applyNumberFormat="1" applyFont="1" applyBorder="1" applyAlignment="1">
      <alignment horizontal="justify" vertical="center"/>
    </xf>
    <xf numFmtId="9" fontId="95" fillId="0" borderId="12" xfId="22" applyFont="1" applyFill="1" applyBorder="1" applyAlignment="1">
      <alignment horizontal="justify" vertical="center"/>
    </xf>
    <xf numFmtId="0" fontId="101" fillId="14" borderId="12" xfId="0" applyFont="1" applyFill="1" applyBorder="1" applyAlignment="1">
      <alignment horizontal="justify" vertical="center"/>
    </xf>
    <xf numFmtId="9" fontId="95" fillId="14" borderId="12" xfId="22" applyFont="1" applyFill="1" applyBorder="1" applyAlignment="1">
      <alignment horizontal="justify" vertical="center"/>
    </xf>
    <xf numFmtId="49" fontId="91" fillId="24" borderId="12" xfId="0" applyNumberFormat="1" applyFont="1" applyFill="1" applyBorder="1" applyAlignment="1">
      <alignment horizontal="justify" vertical="center"/>
    </xf>
    <xf numFmtId="49" fontId="91" fillId="24" borderId="12" xfId="0" applyNumberFormat="1" applyFont="1" applyFill="1" applyBorder="1" applyAlignment="1">
      <alignment horizontal="justify" vertical="center" textRotation="90"/>
    </xf>
    <xf numFmtId="0" fontId="101" fillId="24" borderId="12" xfId="0" applyFont="1" applyFill="1" applyBorder="1" applyAlignment="1">
      <alignment horizontal="justify" vertical="center"/>
    </xf>
    <xf numFmtId="166" fontId="101" fillId="24" borderId="12" xfId="0" applyNumberFormat="1" applyFont="1" applyFill="1" applyBorder="1" applyAlignment="1">
      <alignment horizontal="justify" vertical="center"/>
    </xf>
    <xf numFmtId="49" fontId="91" fillId="24" borderId="12" xfId="0" applyNumberFormat="1" applyFont="1" applyFill="1" applyBorder="1" applyAlignment="1">
      <alignment horizontal="justify" vertical="center" wrapText="1"/>
    </xf>
    <xf numFmtId="0" fontId="91" fillId="0" borderId="12" xfId="0" applyFont="1" applyBorder="1" applyAlignment="1">
      <alignment horizontal="justify" vertical="center"/>
    </xf>
    <xf numFmtId="10" fontId="47" fillId="0" borderId="12" xfId="22" applyNumberFormat="1" applyFont="1" applyBorder="1" applyAlignment="1">
      <alignment horizontal="justify" vertical="center"/>
    </xf>
    <xf numFmtId="10" fontId="47" fillId="14" borderId="12" xfId="22" applyNumberFormat="1" applyFont="1" applyFill="1" applyBorder="1" applyAlignment="1">
      <alignment horizontal="justify" vertical="center"/>
    </xf>
    <xf numFmtId="0" fontId="104" fillId="0" borderId="12" xfId="0" applyFont="1" applyBorder="1" applyAlignment="1">
      <alignment horizontal="justify" vertical="center"/>
    </xf>
    <xf numFmtId="166" fontId="105" fillId="0" borderId="12" xfId="0" applyNumberFormat="1" applyFont="1" applyBorder="1" applyAlignment="1">
      <alignment horizontal="justify" vertical="center"/>
    </xf>
    <xf numFmtId="9" fontId="105" fillId="0" borderId="12" xfId="22" applyFont="1" applyBorder="1" applyAlignment="1">
      <alignment horizontal="justify" vertical="center"/>
    </xf>
    <xf numFmtId="166" fontId="104" fillId="0" borderId="12" xfId="0" applyNumberFormat="1" applyFont="1" applyBorder="1" applyAlignment="1">
      <alignment horizontal="justify" vertical="center"/>
    </xf>
    <xf numFmtId="0" fontId="91" fillId="0" borderId="9" xfId="0" applyFont="1" applyBorder="1" applyAlignment="1">
      <alignment horizontal="justify" vertical="center"/>
    </xf>
    <xf numFmtId="166" fontId="101" fillId="0" borderId="18" xfId="0" applyNumberFormat="1" applyFont="1" applyBorder="1" applyAlignment="1">
      <alignment horizontal="justify" vertical="center"/>
    </xf>
    <xf numFmtId="10" fontId="47" fillId="0" borderId="18" xfId="22" applyNumberFormat="1" applyFont="1" applyBorder="1" applyAlignment="1">
      <alignment horizontal="justify" vertical="center"/>
    </xf>
    <xf numFmtId="49" fontId="91" fillId="0" borderId="6" xfId="0" applyNumberFormat="1" applyFont="1" applyBorder="1" applyAlignment="1">
      <alignment horizontal="justify" vertical="center"/>
    </xf>
    <xf numFmtId="0" fontId="91" fillId="0" borderId="7" xfId="0" applyFont="1" applyBorder="1" applyAlignment="1">
      <alignment horizontal="justify" vertical="center"/>
    </xf>
    <xf numFmtId="0" fontId="101" fillId="14" borderId="7" xfId="0" applyFont="1" applyFill="1" applyBorder="1" applyAlignment="1">
      <alignment horizontal="justify" vertical="center"/>
    </xf>
    <xf numFmtId="0" fontId="96" fillId="24" borderId="21" xfId="0" applyFont="1" applyFill="1" applyBorder="1" applyAlignment="1">
      <alignment horizontal="justify" vertical="center" wrapText="1"/>
    </xf>
    <xf numFmtId="0" fontId="101" fillId="24" borderId="26" xfId="0" applyFont="1" applyFill="1" applyBorder="1" applyAlignment="1">
      <alignment horizontal="justify" vertical="center"/>
    </xf>
    <xf numFmtId="166" fontId="97" fillId="24" borderId="17" xfId="0" applyNumberFormat="1" applyFont="1" applyFill="1" applyBorder="1" applyAlignment="1">
      <alignment horizontal="justify" vertical="center"/>
    </xf>
    <xf numFmtId="166" fontId="101" fillId="24" borderId="17" xfId="0" applyNumberFormat="1" applyFont="1" applyFill="1" applyBorder="1" applyAlignment="1">
      <alignment horizontal="justify" vertical="center"/>
    </xf>
    <xf numFmtId="166" fontId="91" fillId="24" borderId="12" xfId="0" applyNumberFormat="1" applyFont="1" applyFill="1" applyBorder="1" applyAlignment="1">
      <alignment horizontal="justify" vertical="center" wrapText="1"/>
    </xf>
    <xf numFmtId="49" fontId="91" fillId="24" borderId="18" xfId="0" applyNumberFormat="1" applyFont="1" applyFill="1" applyBorder="1" applyAlignment="1">
      <alignment horizontal="justify" vertical="center" wrapText="1"/>
    </xf>
    <xf numFmtId="49" fontId="91" fillId="24" borderId="20" xfId="0" applyNumberFormat="1" applyFont="1" applyFill="1" applyBorder="1" applyAlignment="1">
      <alignment horizontal="justify" vertical="center" wrapText="1"/>
    </xf>
    <xf numFmtId="49" fontId="91" fillId="24" borderId="6" xfId="0" applyNumberFormat="1" applyFont="1" applyFill="1" applyBorder="1" applyAlignment="1">
      <alignment horizontal="justify" vertical="center"/>
    </xf>
    <xf numFmtId="0" fontId="91" fillId="24" borderId="0" xfId="0" applyFont="1" applyFill="1" applyAlignment="1">
      <alignment horizontal="justify" vertical="center" wrapText="1"/>
    </xf>
    <xf numFmtId="0" fontId="96" fillId="24" borderId="26" xfId="0" applyFont="1" applyFill="1" applyBorder="1" applyAlignment="1">
      <alignment horizontal="justify" vertical="center"/>
    </xf>
    <xf numFmtId="0" fontId="91" fillId="0" borderId="6" xfId="0" applyFont="1" applyBorder="1" applyAlignment="1">
      <alignment horizontal="justify" vertical="center"/>
    </xf>
    <xf numFmtId="9" fontId="48" fillId="24" borderId="17" xfId="22" applyFont="1" applyFill="1" applyBorder="1" applyAlignment="1">
      <alignment horizontal="justify" vertical="center"/>
    </xf>
    <xf numFmtId="9" fontId="48" fillId="24" borderId="12" xfId="22" applyFont="1" applyFill="1" applyBorder="1" applyAlignment="1">
      <alignment horizontal="justify" vertical="center"/>
    </xf>
    <xf numFmtId="0" fontId="100" fillId="24" borderId="12" xfId="0" applyFont="1" applyFill="1" applyBorder="1" applyAlignment="1">
      <alignment horizontal="justify" vertical="center" wrapText="1"/>
    </xf>
    <xf numFmtId="0" fontId="48" fillId="41" borderId="12" xfId="0" applyFont="1" applyFill="1" applyBorder="1" applyAlignment="1">
      <alignment horizontal="justify" vertical="center"/>
    </xf>
    <xf numFmtId="166" fontId="101" fillId="0" borderId="29" xfId="0" applyNumberFormat="1" applyFont="1" applyBorder="1" applyAlignment="1">
      <alignment horizontal="justify" vertical="center"/>
    </xf>
    <xf numFmtId="0" fontId="91" fillId="4" borderId="6" xfId="0" applyFont="1" applyFill="1" applyBorder="1" applyAlignment="1">
      <alignment horizontal="justify" vertical="center" textRotation="90" wrapText="1"/>
    </xf>
    <xf numFmtId="0" fontId="91" fillId="25" borderId="12" xfId="0" applyFont="1" applyFill="1" applyBorder="1" applyAlignment="1">
      <alignment horizontal="justify" vertical="center" textRotation="90" wrapText="1"/>
    </xf>
    <xf numFmtId="0" fontId="91" fillId="24" borderId="12" xfId="0" applyFont="1" applyFill="1" applyBorder="1" applyAlignment="1">
      <alignment horizontal="justify" vertical="center"/>
    </xf>
    <xf numFmtId="9" fontId="97" fillId="24" borderId="17" xfId="22" applyFont="1" applyFill="1" applyBorder="1" applyAlignment="1">
      <alignment horizontal="justify" vertical="center"/>
    </xf>
    <xf numFmtId="0" fontId="91" fillId="25" borderId="17" xfId="0" applyFont="1" applyFill="1" applyBorder="1" applyAlignment="1">
      <alignment horizontal="justify" vertical="center" textRotation="90" wrapText="1"/>
    </xf>
    <xf numFmtId="0" fontId="104" fillId="24" borderId="12" xfId="0" applyFont="1" applyFill="1" applyBorder="1" applyAlignment="1">
      <alignment horizontal="justify" vertical="center" wrapText="1"/>
    </xf>
    <xf numFmtId="0" fontId="91" fillId="25" borderId="16" xfId="0" applyFont="1" applyFill="1" applyBorder="1" applyAlignment="1">
      <alignment horizontal="justify" vertical="center" textRotation="90" wrapText="1"/>
    </xf>
    <xf numFmtId="0" fontId="91" fillId="24" borderId="16" xfId="0" applyFont="1" applyFill="1" applyBorder="1" applyAlignment="1">
      <alignment horizontal="justify" vertical="center"/>
    </xf>
    <xf numFmtId="166" fontId="97" fillId="24" borderId="20" xfId="0" applyNumberFormat="1" applyFont="1" applyFill="1" applyBorder="1" applyAlignment="1">
      <alignment horizontal="justify" vertical="center"/>
    </xf>
    <xf numFmtId="9" fontId="97" fillId="24" borderId="20" xfId="22" applyFont="1" applyFill="1" applyBorder="1" applyAlignment="1">
      <alignment horizontal="justify" vertical="center"/>
    </xf>
    <xf numFmtId="166" fontId="101" fillId="24" borderId="20" xfId="0" applyNumberFormat="1" applyFont="1" applyFill="1" applyBorder="1" applyAlignment="1">
      <alignment horizontal="justify" vertical="center"/>
    </xf>
    <xf numFmtId="0" fontId="83" fillId="25" borderId="7" xfId="0" applyFont="1" applyFill="1" applyBorder="1" applyAlignment="1">
      <alignment horizontal="justify" vertical="center" textRotation="90" wrapText="1"/>
    </xf>
    <xf numFmtId="0" fontId="84" fillId="24" borderId="7" xfId="0" applyFont="1" applyFill="1" applyBorder="1" applyAlignment="1">
      <alignment horizontal="justify" vertical="center"/>
    </xf>
    <xf numFmtId="9" fontId="84" fillId="24" borderId="17" xfId="22" applyFont="1" applyFill="1" applyBorder="1" applyAlignment="1">
      <alignment horizontal="justify" vertical="center"/>
    </xf>
    <xf numFmtId="166" fontId="100" fillId="37" borderId="12" xfId="0" applyNumberFormat="1" applyFont="1" applyFill="1" applyBorder="1" applyAlignment="1">
      <alignment horizontal="justify" vertical="center"/>
    </xf>
    <xf numFmtId="0" fontId="100" fillId="24" borderId="7" xfId="0" applyFont="1" applyFill="1" applyBorder="1" applyAlignment="1">
      <alignment horizontal="justify" vertical="center" wrapText="1"/>
    </xf>
    <xf numFmtId="49" fontId="83" fillId="24" borderId="18" xfId="0" applyNumberFormat="1" applyFont="1" applyFill="1" applyBorder="1" applyAlignment="1">
      <alignment horizontal="justify" vertical="center" wrapText="1"/>
    </xf>
    <xf numFmtId="0" fontId="91" fillId="25" borderId="7" xfId="0" applyFont="1" applyFill="1" applyBorder="1" applyAlignment="1">
      <alignment horizontal="justify" vertical="center" textRotation="90" wrapText="1"/>
    </xf>
    <xf numFmtId="0" fontId="91" fillId="24" borderId="7" xfId="0" applyFont="1" applyFill="1" applyBorder="1" applyAlignment="1">
      <alignment horizontal="justify" vertical="center"/>
    </xf>
    <xf numFmtId="0" fontId="101" fillId="4" borderId="6" xfId="0" applyFont="1" applyFill="1" applyBorder="1" applyAlignment="1">
      <alignment horizontal="justify" vertical="center" wrapText="1"/>
    </xf>
    <xf numFmtId="0" fontId="91" fillId="24" borderId="6" xfId="0" applyFont="1" applyFill="1" applyBorder="1" applyAlignment="1">
      <alignment horizontal="justify" vertical="center"/>
    </xf>
    <xf numFmtId="49" fontId="95" fillId="0" borderId="18" xfId="0" applyNumberFormat="1" applyFont="1" applyBorder="1" applyAlignment="1">
      <alignment horizontal="justify" vertical="center" wrapText="1"/>
    </xf>
    <xf numFmtId="49" fontId="91" fillId="11" borderId="12" xfId="0" applyNumberFormat="1" applyFont="1" applyFill="1" applyBorder="1" applyAlignment="1">
      <alignment horizontal="justify" vertical="center" wrapText="1"/>
    </xf>
    <xf numFmtId="0" fontId="101" fillId="24" borderId="6" xfId="0" applyFont="1" applyFill="1" applyBorder="1" applyAlignment="1">
      <alignment horizontal="justify" vertical="center"/>
    </xf>
    <xf numFmtId="49" fontId="95" fillId="0" borderId="12" xfId="0" applyNumberFormat="1" applyFont="1" applyBorder="1" applyAlignment="1">
      <alignment horizontal="justify" vertical="center" wrapText="1"/>
    </xf>
    <xf numFmtId="166" fontId="91" fillId="0" borderId="20" xfId="0" applyNumberFormat="1" applyFont="1" applyBorder="1" applyAlignment="1">
      <alignment horizontal="justify" vertical="center"/>
    </xf>
    <xf numFmtId="49" fontId="95" fillId="0" borderId="17" xfId="0" applyNumberFormat="1" applyFont="1" applyBorder="1" applyAlignment="1">
      <alignment horizontal="justify" vertical="center" wrapText="1"/>
    </xf>
    <xf numFmtId="49" fontId="91" fillId="11" borderId="17" xfId="0" applyNumberFormat="1" applyFont="1" applyFill="1" applyBorder="1" applyAlignment="1">
      <alignment horizontal="justify" vertical="center" wrapText="1"/>
    </xf>
    <xf numFmtId="0" fontId="96" fillId="24" borderId="0" xfId="0" applyFont="1" applyFill="1" applyAlignment="1">
      <alignment horizontal="justify" vertical="center" wrapText="1"/>
    </xf>
    <xf numFmtId="166" fontId="91" fillId="24" borderId="12" xfId="0" applyNumberFormat="1" applyFont="1" applyFill="1" applyBorder="1" applyAlignment="1">
      <alignment horizontal="justify" vertical="center"/>
    </xf>
    <xf numFmtId="166" fontId="101" fillId="0" borderId="20" xfId="0" applyNumberFormat="1" applyFont="1" applyBorder="1" applyAlignment="1">
      <alignment horizontal="justify" vertical="center"/>
    </xf>
    <xf numFmtId="0" fontId="96" fillId="21" borderId="12" xfId="0" applyFont="1" applyFill="1" applyBorder="1" applyAlignment="1">
      <alignment horizontal="justify" vertical="center" textRotation="90" wrapText="1"/>
    </xf>
    <xf numFmtId="166" fontId="100" fillId="20" borderId="12" xfId="0" applyNumberFormat="1" applyFont="1" applyFill="1" applyBorder="1" applyAlignment="1">
      <alignment horizontal="justify" vertical="center"/>
    </xf>
    <xf numFmtId="9" fontId="98" fillId="20" borderId="12" xfId="22" applyFont="1" applyFill="1" applyBorder="1" applyAlignment="1">
      <alignment horizontal="justify" vertical="center"/>
    </xf>
    <xf numFmtId="166" fontId="49" fillId="20" borderId="13" xfId="0" applyNumberFormat="1" applyFont="1" applyFill="1" applyBorder="1" applyAlignment="1">
      <alignment horizontal="justify" vertical="center"/>
    </xf>
    <xf numFmtId="49" fontId="91" fillId="20" borderId="12" xfId="0" applyNumberFormat="1" applyFont="1" applyFill="1" applyBorder="1" applyAlignment="1">
      <alignment horizontal="justify" vertical="center" wrapText="1"/>
    </xf>
    <xf numFmtId="0" fontId="96" fillId="20" borderId="0" xfId="0" applyFont="1" applyFill="1" applyAlignment="1">
      <alignment horizontal="justify" vertical="center"/>
    </xf>
    <xf numFmtId="9" fontId="97" fillId="0" borderId="20" xfId="22" applyFont="1" applyBorder="1" applyAlignment="1">
      <alignment horizontal="justify" vertical="center"/>
    </xf>
    <xf numFmtId="166" fontId="101" fillId="0" borderId="38" xfId="0" applyNumberFormat="1" applyFont="1" applyBorder="1" applyAlignment="1">
      <alignment horizontal="justify" vertical="center"/>
    </xf>
    <xf numFmtId="166" fontId="101" fillId="0" borderId="23" xfId="0" applyNumberFormat="1" applyFont="1" applyBorder="1" applyAlignment="1">
      <alignment horizontal="justify" vertical="center"/>
    </xf>
    <xf numFmtId="166" fontId="101" fillId="23" borderId="13" xfId="0" applyNumberFormat="1" applyFont="1" applyFill="1" applyBorder="1" applyAlignment="1">
      <alignment horizontal="justify" vertical="center"/>
    </xf>
    <xf numFmtId="49" fontId="104" fillId="24" borderId="14" xfId="0" applyNumberFormat="1" applyFont="1" applyFill="1" applyBorder="1" applyAlignment="1">
      <alignment horizontal="justify" vertical="center"/>
    </xf>
    <xf numFmtId="0" fontId="125" fillId="24" borderId="7" xfId="0" applyFont="1" applyFill="1" applyBorder="1" applyAlignment="1">
      <alignment horizontal="justify" vertical="center" wrapText="1"/>
    </xf>
    <xf numFmtId="0" fontId="104" fillId="25" borderId="12" xfId="0" applyFont="1" applyFill="1" applyBorder="1" applyAlignment="1">
      <alignment horizontal="justify" vertical="center" textRotation="90" wrapText="1"/>
    </xf>
    <xf numFmtId="0" fontId="104" fillId="24" borderId="12" xfId="0" applyFont="1" applyFill="1" applyBorder="1" applyAlignment="1">
      <alignment horizontal="justify" vertical="center"/>
    </xf>
    <xf numFmtId="166" fontId="126" fillId="24" borderId="6" xfId="0" applyNumberFormat="1" applyFont="1" applyFill="1" applyBorder="1" applyAlignment="1">
      <alignment horizontal="justify" vertical="center"/>
    </xf>
    <xf numFmtId="9" fontId="111" fillId="24" borderId="12" xfId="22" applyFont="1" applyFill="1" applyBorder="1" applyAlignment="1">
      <alignment horizontal="justify" vertical="center"/>
    </xf>
    <xf numFmtId="166" fontId="91" fillId="24" borderId="18" xfId="0" applyNumberFormat="1" applyFont="1" applyFill="1" applyBorder="1" applyAlignment="1">
      <alignment horizontal="justify" vertical="center"/>
    </xf>
    <xf numFmtId="49" fontId="97" fillId="24" borderId="12" xfId="0" applyNumberFormat="1" applyFont="1" applyFill="1" applyBorder="1" applyAlignment="1">
      <alignment horizontal="justify" vertical="center" wrapText="1"/>
    </xf>
    <xf numFmtId="49" fontId="95" fillId="24" borderId="18" xfId="0" applyNumberFormat="1" applyFont="1" applyFill="1" applyBorder="1" applyAlignment="1">
      <alignment horizontal="justify" vertical="center" wrapText="1"/>
    </xf>
    <xf numFmtId="166" fontId="126" fillId="27" borderId="6" xfId="0" applyNumberFormat="1" applyFont="1" applyFill="1" applyBorder="1" applyAlignment="1">
      <alignment horizontal="justify" vertical="center"/>
    </xf>
    <xf numFmtId="166" fontId="125" fillId="27" borderId="12" xfId="0" applyNumberFormat="1" applyFont="1" applyFill="1" applyBorder="1" applyAlignment="1">
      <alignment horizontal="justify" vertical="center"/>
    </xf>
    <xf numFmtId="166" fontId="126" fillId="24" borderId="6" xfId="3" applyNumberFormat="1" applyFont="1" applyFill="1" applyBorder="1" applyAlignment="1">
      <alignment horizontal="justify" vertical="center"/>
    </xf>
    <xf numFmtId="49" fontId="104" fillId="24" borderId="19" xfId="0" applyNumberFormat="1" applyFont="1" applyFill="1" applyBorder="1" applyAlignment="1">
      <alignment horizontal="justify" vertical="center"/>
    </xf>
    <xf numFmtId="0" fontId="104" fillId="25" borderId="17" xfId="0" applyFont="1" applyFill="1" applyBorder="1" applyAlignment="1">
      <alignment horizontal="justify" vertical="center" textRotation="90" wrapText="1"/>
    </xf>
    <xf numFmtId="0" fontId="104" fillId="24" borderId="17" xfId="0" applyFont="1" applyFill="1" applyBorder="1" applyAlignment="1">
      <alignment horizontal="justify" vertical="center"/>
    </xf>
    <xf numFmtId="166" fontId="126" fillId="27" borderId="7" xfId="0" applyNumberFormat="1" applyFont="1" applyFill="1" applyBorder="1" applyAlignment="1">
      <alignment horizontal="justify" vertical="center"/>
    </xf>
    <xf numFmtId="9" fontId="111" fillId="24" borderId="17" xfId="22" applyFont="1" applyFill="1" applyBorder="1" applyAlignment="1">
      <alignment horizontal="justify" vertical="center"/>
    </xf>
    <xf numFmtId="166" fontId="111" fillId="24" borderId="17" xfId="0" applyNumberFormat="1" applyFont="1" applyFill="1" applyBorder="1" applyAlignment="1">
      <alignment horizontal="justify" vertical="center"/>
    </xf>
    <xf numFmtId="166" fontId="104" fillId="24" borderId="17" xfId="0" applyNumberFormat="1" applyFont="1" applyFill="1" applyBorder="1" applyAlignment="1">
      <alignment horizontal="justify" vertical="center"/>
    </xf>
    <xf numFmtId="166" fontId="104" fillId="24" borderId="23" xfId="0" applyNumberFormat="1" applyFont="1" applyFill="1" applyBorder="1" applyAlignment="1">
      <alignment horizontal="justify" vertical="center"/>
    </xf>
    <xf numFmtId="166" fontId="91" fillId="24" borderId="20" xfId="0" applyNumberFormat="1" applyFont="1" applyFill="1" applyBorder="1" applyAlignment="1">
      <alignment horizontal="justify" vertical="center"/>
    </xf>
    <xf numFmtId="49" fontId="97" fillId="24" borderId="17" xfId="0" applyNumberFormat="1" applyFont="1" applyFill="1" applyBorder="1" applyAlignment="1">
      <alignment horizontal="justify" vertical="center" wrapText="1"/>
    </xf>
    <xf numFmtId="49" fontId="95" fillId="24" borderId="20" xfId="0" applyNumberFormat="1" applyFont="1" applyFill="1" applyBorder="1" applyAlignment="1">
      <alignment horizontal="justify" vertical="center" wrapText="1"/>
    </xf>
    <xf numFmtId="49" fontId="83" fillId="24" borderId="12" xfId="0" applyNumberFormat="1" applyFont="1" applyFill="1" applyBorder="1" applyAlignment="1">
      <alignment horizontal="justify" vertical="center"/>
    </xf>
    <xf numFmtId="0" fontId="100" fillId="25" borderId="12" xfId="0" applyFont="1" applyFill="1" applyBorder="1" applyAlignment="1">
      <alignment horizontal="justify" vertical="center" wrapText="1"/>
    </xf>
    <xf numFmtId="0" fontId="83" fillId="25" borderId="12" xfId="0" applyFont="1" applyFill="1" applyBorder="1" applyAlignment="1">
      <alignment horizontal="justify" vertical="center" textRotation="90" wrapText="1"/>
    </xf>
    <xf numFmtId="0" fontId="84" fillId="24" borderId="12" xfId="0" applyFont="1" applyFill="1" applyBorder="1" applyAlignment="1">
      <alignment horizontal="justify" vertical="center"/>
    </xf>
    <xf numFmtId="166" fontId="84" fillId="24" borderId="13" xfId="0" applyNumberFormat="1" applyFont="1" applyFill="1" applyBorder="1" applyAlignment="1">
      <alignment horizontal="justify" vertical="center"/>
    </xf>
    <xf numFmtId="49" fontId="48" fillId="24" borderId="21" xfId="0" applyNumberFormat="1" applyFont="1" applyFill="1" applyBorder="1" applyAlignment="1">
      <alignment horizontal="justify" vertical="center" wrapText="1"/>
    </xf>
    <xf numFmtId="49" fontId="96" fillId="24" borderId="21" xfId="0" applyNumberFormat="1" applyFont="1" applyFill="1" applyBorder="1" applyAlignment="1">
      <alignment horizontal="justify" vertical="center" wrapText="1"/>
    </xf>
    <xf numFmtId="9" fontId="105" fillId="23" borderId="12" xfId="22" applyFont="1" applyFill="1" applyBorder="1" applyAlignment="1">
      <alignment horizontal="justify" vertical="center"/>
    </xf>
    <xf numFmtId="166" fontId="105" fillId="23" borderId="12" xfId="0" applyNumberFormat="1" applyFont="1" applyFill="1" applyBorder="1" applyAlignment="1">
      <alignment horizontal="justify" vertical="center"/>
    </xf>
    <xf numFmtId="2" fontId="48" fillId="0" borderId="18" xfId="0" applyNumberFormat="1" applyFont="1" applyBorder="1" applyAlignment="1">
      <alignment horizontal="justify" vertical="center"/>
    </xf>
    <xf numFmtId="2" fontId="47" fillId="0" borderId="18" xfId="0" applyNumberFormat="1" applyFont="1" applyBorder="1" applyAlignment="1">
      <alignment horizontal="justify" vertical="center"/>
    </xf>
    <xf numFmtId="9" fontId="105" fillId="0" borderId="12" xfId="22" applyFont="1" applyFill="1" applyBorder="1" applyAlignment="1">
      <alignment horizontal="justify" vertical="center"/>
    </xf>
    <xf numFmtId="2" fontId="105" fillId="0" borderId="18" xfId="0" applyNumberFormat="1" applyFont="1" applyBorder="1" applyAlignment="1">
      <alignment horizontal="justify" vertical="center"/>
    </xf>
    <xf numFmtId="2" fontId="48" fillId="0" borderId="12" xfId="0" applyNumberFormat="1" applyFont="1" applyBorder="1" applyAlignment="1">
      <alignment horizontal="justify" vertical="center" wrapText="1"/>
    </xf>
    <xf numFmtId="2" fontId="47" fillId="0" borderId="29" xfId="0" applyNumberFormat="1" applyFont="1" applyBorder="1" applyAlignment="1">
      <alignment horizontal="justify" vertical="center"/>
    </xf>
    <xf numFmtId="2" fontId="47" fillId="0" borderId="12" xfId="0" applyNumberFormat="1" applyFont="1" applyBorder="1" applyAlignment="1">
      <alignment horizontal="justify" vertical="center"/>
    </xf>
    <xf numFmtId="166" fontId="105" fillId="0" borderId="18" xfId="0" applyNumberFormat="1" applyFont="1" applyBorder="1" applyAlignment="1">
      <alignment horizontal="justify" vertical="center"/>
    </xf>
    <xf numFmtId="2" fontId="48" fillId="0" borderId="18" xfId="0" applyNumberFormat="1" applyFont="1" applyBorder="1" applyAlignment="1">
      <alignment horizontal="justify" vertical="center" wrapText="1"/>
    </xf>
    <xf numFmtId="2" fontId="47" fillId="14" borderId="12" xfId="0" applyNumberFormat="1" applyFont="1" applyFill="1" applyBorder="1" applyAlignment="1">
      <alignment horizontal="justify" vertical="center"/>
    </xf>
    <xf numFmtId="9" fontId="105" fillId="14" borderId="12" xfId="22" applyFont="1" applyFill="1" applyBorder="1" applyAlignment="1">
      <alignment horizontal="justify" vertical="center"/>
    </xf>
    <xf numFmtId="166" fontId="109" fillId="14" borderId="12" xfId="0" applyNumberFormat="1" applyFont="1" applyFill="1" applyBorder="1" applyAlignment="1">
      <alignment horizontal="justify" vertical="center"/>
    </xf>
    <xf numFmtId="166" fontId="105" fillId="14" borderId="12" xfId="0" applyNumberFormat="1" applyFont="1" applyFill="1" applyBorder="1" applyAlignment="1">
      <alignment horizontal="justify" vertical="center"/>
    </xf>
    <xf numFmtId="1" fontId="48" fillId="0" borderId="12" xfId="0" applyNumberFormat="1" applyFont="1" applyBorder="1" applyAlignment="1">
      <alignment horizontal="justify" vertical="center" wrapText="1"/>
    </xf>
    <xf numFmtId="166" fontId="105" fillId="14" borderId="17" xfId="0" applyNumberFormat="1" applyFont="1" applyFill="1" applyBorder="1" applyAlignment="1">
      <alignment horizontal="justify" vertical="center"/>
    </xf>
    <xf numFmtId="166" fontId="105" fillId="0" borderId="17" xfId="0" applyNumberFormat="1" applyFont="1" applyBorder="1" applyAlignment="1">
      <alignment horizontal="justify" vertical="center"/>
    </xf>
    <xf numFmtId="0" fontId="47" fillId="14" borderId="21" xfId="0" applyFont="1" applyFill="1" applyBorder="1" applyAlignment="1">
      <alignment horizontal="justify" vertical="center"/>
    </xf>
    <xf numFmtId="9" fontId="105" fillId="11" borderId="12" xfId="22" applyFont="1" applyFill="1" applyBorder="1" applyAlignment="1">
      <alignment horizontal="justify" vertical="center"/>
    </xf>
    <xf numFmtId="166" fontId="105" fillId="11" borderId="17" xfId="0" applyNumberFormat="1" applyFont="1" applyFill="1" applyBorder="1" applyAlignment="1">
      <alignment horizontal="justify" vertical="center"/>
    </xf>
    <xf numFmtId="0" fontId="47" fillId="24" borderId="21" xfId="0" applyFont="1" applyFill="1" applyBorder="1" applyAlignment="1">
      <alignment horizontal="justify" vertical="center"/>
    </xf>
    <xf numFmtId="0" fontId="48" fillId="19" borderId="6" xfId="0" applyFont="1" applyFill="1" applyBorder="1" applyAlignment="1">
      <alignment horizontal="justify" vertical="center"/>
    </xf>
    <xf numFmtId="166" fontId="47" fillId="19" borderId="18" xfId="0" applyNumberFormat="1" applyFont="1" applyFill="1" applyBorder="1" applyAlignment="1">
      <alignment horizontal="justify" vertical="center"/>
    </xf>
    <xf numFmtId="9" fontId="105" fillId="5" borderId="12" xfId="22" applyFont="1" applyFill="1" applyBorder="1" applyAlignment="1">
      <alignment horizontal="justify" vertical="center"/>
    </xf>
    <xf numFmtId="166" fontId="105" fillId="5" borderId="0" xfId="0" applyNumberFormat="1" applyFont="1" applyFill="1" applyAlignment="1">
      <alignment horizontal="justify" vertical="center"/>
    </xf>
    <xf numFmtId="166" fontId="47" fillId="19" borderId="19" xfId="0" applyNumberFormat="1" applyFont="1" applyFill="1" applyBorder="1" applyAlignment="1">
      <alignment horizontal="justify" vertical="center"/>
    </xf>
    <xf numFmtId="166" fontId="47" fillId="19" borderId="29" xfId="0" applyNumberFormat="1" applyFont="1" applyFill="1" applyBorder="1" applyAlignment="1">
      <alignment horizontal="justify" vertical="center"/>
    </xf>
    <xf numFmtId="166" fontId="47" fillId="19" borderId="12" xfId="0" applyNumberFormat="1" applyFont="1" applyFill="1" applyBorder="1" applyAlignment="1">
      <alignment horizontal="justify" vertical="center"/>
    </xf>
    <xf numFmtId="49" fontId="48" fillId="19" borderId="18" xfId="0" applyNumberFormat="1" applyFont="1" applyFill="1" applyBorder="1" applyAlignment="1">
      <alignment horizontal="justify" vertical="center" wrapText="1"/>
    </xf>
    <xf numFmtId="166" fontId="105" fillId="5" borderId="12" xfId="0" applyNumberFormat="1" applyFont="1" applyFill="1" applyBorder="1" applyAlignment="1">
      <alignment horizontal="justify" vertical="center"/>
    </xf>
    <xf numFmtId="166" fontId="47" fillId="19" borderId="13" xfId="0" applyNumberFormat="1" applyFont="1" applyFill="1" applyBorder="1" applyAlignment="1">
      <alignment horizontal="justify" vertical="center"/>
    </xf>
    <xf numFmtId="0" fontId="47" fillId="19" borderId="7" xfId="0" applyFont="1" applyFill="1" applyBorder="1" applyAlignment="1">
      <alignment horizontal="justify" vertical="center"/>
    </xf>
    <xf numFmtId="166" fontId="47" fillId="19" borderId="17" xfId="0" applyNumberFormat="1" applyFont="1" applyFill="1" applyBorder="1" applyAlignment="1">
      <alignment horizontal="justify" vertical="center"/>
    </xf>
    <xf numFmtId="166" fontId="105" fillId="5" borderId="17" xfId="0" applyNumberFormat="1" applyFont="1" applyFill="1" applyBorder="1" applyAlignment="1">
      <alignment horizontal="justify" vertical="center"/>
    </xf>
    <xf numFmtId="166" fontId="47" fillId="19" borderId="23" xfId="0" applyNumberFormat="1" applyFont="1" applyFill="1" applyBorder="1" applyAlignment="1">
      <alignment horizontal="justify" vertical="center"/>
    </xf>
    <xf numFmtId="49" fontId="48" fillId="19" borderId="17" xfId="0" applyNumberFormat="1" applyFont="1" applyFill="1" applyBorder="1" applyAlignment="1">
      <alignment horizontal="justify" vertical="center" wrapText="1"/>
    </xf>
    <xf numFmtId="0" fontId="47" fillId="23" borderId="23" xfId="0" applyFont="1" applyFill="1" applyBorder="1" applyAlignment="1">
      <alignment horizontal="justify" vertical="center" wrapText="1"/>
    </xf>
    <xf numFmtId="49" fontId="48" fillId="23" borderId="18" xfId="0" applyNumberFormat="1" applyFont="1" applyFill="1" applyBorder="1" applyAlignment="1">
      <alignment horizontal="justify" vertical="center"/>
    </xf>
    <xf numFmtId="166" fontId="105" fillId="5" borderId="18" xfId="0" applyNumberFormat="1" applyFont="1" applyFill="1" applyBorder="1" applyAlignment="1">
      <alignment horizontal="justify" vertical="center"/>
    </xf>
    <xf numFmtId="166" fontId="47" fillId="23" borderId="29" xfId="0" applyNumberFormat="1" applyFont="1" applyFill="1" applyBorder="1" applyAlignment="1">
      <alignment horizontal="justify" vertical="center"/>
    </xf>
    <xf numFmtId="49" fontId="48" fillId="23" borderId="38" xfId="0" applyNumberFormat="1" applyFont="1" applyFill="1" applyBorder="1" applyAlignment="1">
      <alignment horizontal="justify" vertical="center" wrapText="1"/>
    </xf>
    <xf numFmtId="166" fontId="47" fillId="23" borderId="13" xfId="0" applyNumberFormat="1" applyFont="1" applyFill="1" applyBorder="1" applyAlignment="1">
      <alignment horizontal="justify" vertical="center"/>
    </xf>
    <xf numFmtId="49" fontId="48" fillId="23" borderId="29" xfId="0" applyNumberFormat="1" applyFont="1" applyFill="1" applyBorder="1" applyAlignment="1">
      <alignment horizontal="justify" vertical="center" wrapText="1"/>
    </xf>
    <xf numFmtId="166" fontId="105" fillId="0" borderId="0" xfId="0" applyNumberFormat="1" applyFont="1" applyAlignment="1">
      <alignment horizontal="justify" vertical="center"/>
    </xf>
    <xf numFmtId="166" fontId="109" fillId="14" borderId="17" xfId="0" applyNumberFormat="1" applyFont="1" applyFill="1" applyBorder="1" applyAlignment="1">
      <alignment horizontal="justify" vertical="center"/>
    </xf>
    <xf numFmtId="0" fontId="96" fillId="0" borderId="12" xfId="0" applyFont="1" applyBorder="1" applyAlignment="1">
      <alignment horizontal="justify" vertical="center" textRotation="90" wrapText="1"/>
    </xf>
    <xf numFmtId="0" fontId="96" fillId="0" borderId="12" xfId="0" applyFont="1" applyBorder="1" applyAlignment="1">
      <alignment horizontal="justify" vertical="center"/>
    </xf>
    <xf numFmtId="9" fontId="100" fillId="0" borderId="12" xfId="22" applyFont="1" applyFill="1" applyBorder="1" applyAlignment="1">
      <alignment horizontal="justify" vertical="center"/>
    </xf>
    <xf numFmtId="166" fontId="100" fillId="0" borderId="17" xfId="0" applyNumberFormat="1" applyFont="1" applyBorder="1" applyAlignment="1">
      <alignment horizontal="justify" vertical="center"/>
    </xf>
    <xf numFmtId="166" fontId="96" fillId="0" borderId="17" xfId="0" applyNumberFormat="1" applyFont="1" applyBorder="1" applyAlignment="1">
      <alignment horizontal="justify" vertical="center"/>
    </xf>
    <xf numFmtId="166" fontId="96" fillId="0" borderId="23" xfId="0" applyNumberFormat="1" applyFont="1" applyBorder="1" applyAlignment="1">
      <alignment horizontal="justify" vertical="center"/>
    </xf>
    <xf numFmtId="0" fontId="96" fillId="14" borderId="7" xfId="0" applyFont="1" applyFill="1" applyBorder="1" applyAlignment="1">
      <alignment horizontal="justify" vertical="center"/>
    </xf>
    <xf numFmtId="166" fontId="96" fillId="14" borderId="17" xfId="0" applyNumberFormat="1" applyFont="1" applyFill="1" applyBorder="1" applyAlignment="1">
      <alignment horizontal="justify" vertical="center"/>
    </xf>
    <xf numFmtId="9" fontId="100" fillId="14" borderId="12" xfId="22" applyFont="1" applyFill="1" applyBorder="1" applyAlignment="1">
      <alignment horizontal="justify" vertical="center"/>
    </xf>
    <xf numFmtId="166" fontId="100" fillId="14" borderId="17" xfId="0" applyNumberFormat="1" applyFont="1" applyFill="1" applyBorder="1" applyAlignment="1">
      <alignment horizontal="justify" vertical="center"/>
    </xf>
    <xf numFmtId="49" fontId="48" fillId="19" borderId="18" xfId="0" applyNumberFormat="1" applyFont="1" applyFill="1" applyBorder="1" applyAlignment="1">
      <alignment horizontal="justify" vertical="center"/>
    </xf>
    <xf numFmtId="0" fontId="47" fillId="19" borderId="12" xfId="0" applyFont="1" applyFill="1" applyBorder="1" applyAlignment="1">
      <alignment horizontal="justify" vertical="center"/>
    </xf>
    <xf numFmtId="166" fontId="47" fillId="19" borderId="8" xfId="0" applyNumberFormat="1" applyFont="1" applyFill="1" applyBorder="1" applyAlignment="1">
      <alignment horizontal="justify" vertical="center"/>
    </xf>
    <xf numFmtId="0" fontId="47" fillId="19" borderId="6" xfId="0" applyFont="1" applyFill="1" applyBorder="1" applyAlignment="1">
      <alignment horizontal="justify" vertical="center"/>
    </xf>
    <xf numFmtId="0" fontId="48" fillId="0" borderId="8" xfId="0" applyFont="1" applyBorder="1" applyAlignment="1">
      <alignment horizontal="justify" vertical="center"/>
    </xf>
    <xf numFmtId="0" fontId="48" fillId="0" borderId="21" xfId="0" applyFont="1" applyBorder="1" applyAlignment="1">
      <alignment horizontal="justify" vertical="center"/>
    </xf>
    <xf numFmtId="166" fontId="109" fillId="0" borderId="18" xfId="0" applyNumberFormat="1" applyFont="1" applyBorder="1" applyAlignment="1">
      <alignment horizontal="justify" vertical="center"/>
    </xf>
    <xf numFmtId="0" fontId="83" fillId="20" borderId="12" xfId="0" applyFont="1" applyFill="1" applyBorder="1" applyAlignment="1">
      <alignment horizontal="justify" vertical="center"/>
    </xf>
    <xf numFmtId="166" fontId="83" fillId="20" borderId="12" xfId="0" applyNumberFormat="1" applyFont="1" applyFill="1" applyBorder="1" applyAlignment="1">
      <alignment horizontal="justify" vertical="center"/>
    </xf>
    <xf numFmtId="9" fontId="105" fillId="20" borderId="12" xfId="22" applyFont="1" applyFill="1" applyBorder="1" applyAlignment="1">
      <alignment horizontal="justify" vertical="center"/>
    </xf>
    <xf numFmtId="166" fontId="83" fillId="20" borderId="13" xfId="0" applyNumberFormat="1" applyFont="1" applyFill="1" applyBorder="1" applyAlignment="1">
      <alignment horizontal="justify" vertical="center"/>
    </xf>
    <xf numFmtId="49" fontId="84" fillId="20" borderId="18" xfId="0" applyNumberFormat="1" applyFont="1" applyFill="1" applyBorder="1" applyAlignment="1">
      <alignment horizontal="justify" vertical="center" wrapText="1"/>
    </xf>
    <xf numFmtId="0" fontId="105" fillId="20" borderId="12" xfId="0" applyFont="1" applyFill="1" applyBorder="1" applyAlignment="1">
      <alignment horizontal="justify" vertical="center"/>
    </xf>
    <xf numFmtId="0" fontId="83" fillId="20" borderId="13" xfId="0" applyFont="1" applyFill="1" applyBorder="1" applyAlignment="1">
      <alignment horizontal="justify" vertical="center"/>
    </xf>
    <xf numFmtId="0" fontId="83" fillId="20" borderId="12" xfId="0" applyFont="1" applyFill="1" applyBorder="1" applyAlignment="1">
      <alignment horizontal="justify" vertical="center" wrapText="1"/>
    </xf>
    <xf numFmtId="166" fontId="83" fillId="20" borderId="18" xfId="0" applyNumberFormat="1" applyFont="1" applyFill="1" applyBorder="1" applyAlignment="1">
      <alignment horizontal="justify" vertical="center"/>
    </xf>
    <xf numFmtId="166" fontId="105" fillId="20" borderId="18" xfId="0" applyNumberFormat="1" applyFont="1" applyFill="1" applyBorder="1" applyAlignment="1">
      <alignment horizontal="justify" vertical="center"/>
    </xf>
    <xf numFmtId="166" fontId="83" fillId="20" borderId="29" xfId="0" applyNumberFormat="1" applyFont="1" applyFill="1" applyBorder="1" applyAlignment="1">
      <alignment horizontal="justify" vertical="center"/>
    </xf>
    <xf numFmtId="0" fontId="84" fillId="20" borderId="12" xfId="0" applyFont="1" applyFill="1" applyBorder="1" applyAlignment="1">
      <alignment horizontal="justify" vertical="center"/>
    </xf>
    <xf numFmtId="166" fontId="84" fillId="20" borderId="18" xfId="0" applyNumberFormat="1" applyFont="1" applyFill="1" applyBorder="1" applyAlignment="1">
      <alignment horizontal="justify" vertical="center"/>
    </xf>
    <xf numFmtId="166" fontId="84" fillId="20" borderId="29" xfId="0" applyNumberFormat="1" applyFont="1" applyFill="1" applyBorder="1" applyAlignment="1">
      <alignment horizontal="justify" vertical="center"/>
    </xf>
    <xf numFmtId="166" fontId="84" fillId="20" borderId="12" xfId="0" applyNumberFormat="1" applyFont="1" applyFill="1" applyBorder="1" applyAlignment="1">
      <alignment horizontal="justify" vertical="center"/>
    </xf>
    <xf numFmtId="49" fontId="84" fillId="20" borderId="12" xfId="0" applyNumberFormat="1" applyFont="1" applyFill="1" applyBorder="1" applyAlignment="1">
      <alignment horizontal="justify" vertical="center" wrapText="1"/>
    </xf>
    <xf numFmtId="0" fontId="84" fillId="20" borderId="16" xfId="0" applyFont="1" applyFill="1" applyBorder="1" applyAlignment="1">
      <alignment horizontal="justify" vertical="center"/>
    </xf>
    <xf numFmtId="166" fontId="84" fillId="20" borderId="20" xfId="0" applyNumberFormat="1" applyFont="1" applyFill="1" applyBorder="1" applyAlignment="1">
      <alignment horizontal="justify" vertical="center"/>
    </xf>
    <xf numFmtId="166" fontId="105" fillId="20" borderId="20" xfId="0" applyNumberFormat="1" applyFont="1" applyFill="1" applyBorder="1" applyAlignment="1">
      <alignment horizontal="justify" vertical="center"/>
    </xf>
    <xf numFmtId="0" fontId="48" fillId="38" borderId="12" xfId="0" applyFont="1" applyFill="1" applyBorder="1" applyAlignment="1">
      <alignment horizontal="justify" vertical="center"/>
    </xf>
    <xf numFmtId="9" fontId="105" fillId="38" borderId="12" xfId="22" applyFont="1" applyFill="1" applyBorder="1" applyAlignment="1">
      <alignment horizontal="justify" vertical="center"/>
    </xf>
    <xf numFmtId="166" fontId="48" fillId="38" borderId="13" xfId="0" applyNumberFormat="1" applyFont="1" applyFill="1" applyBorder="1" applyAlignment="1">
      <alignment horizontal="justify" vertical="center"/>
    </xf>
    <xf numFmtId="0" fontId="105" fillId="38" borderId="12" xfId="0" applyFont="1" applyFill="1" applyBorder="1" applyAlignment="1">
      <alignment horizontal="justify" vertical="center"/>
    </xf>
    <xf numFmtId="0" fontId="48" fillId="38" borderId="13" xfId="0" applyFont="1" applyFill="1" applyBorder="1" applyAlignment="1">
      <alignment horizontal="justify" vertical="center"/>
    </xf>
    <xf numFmtId="0" fontId="47" fillId="38" borderId="16" xfId="0" applyFont="1" applyFill="1" applyBorder="1" applyAlignment="1">
      <alignment horizontal="justify" vertical="center"/>
    </xf>
    <xf numFmtId="166" fontId="47" fillId="38" borderId="20" xfId="0" applyNumberFormat="1" applyFont="1" applyFill="1" applyBorder="1" applyAlignment="1">
      <alignment horizontal="justify" vertical="center"/>
    </xf>
    <xf numFmtId="166" fontId="105" fillId="38" borderId="20" xfId="0" applyNumberFormat="1" applyFont="1" applyFill="1" applyBorder="1" applyAlignment="1">
      <alignment horizontal="justify" vertical="center"/>
    </xf>
    <xf numFmtId="166" fontId="47" fillId="38" borderId="29" xfId="0" applyNumberFormat="1" applyFont="1" applyFill="1" applyBorder="1" applyAlignment="1">
      <alignment horizontal="justify" vertical="center"/>
    </xf>
    <xf numFmtId="166" fontId="47" fillId="38" borderId="12" xfId="0" applyNumberFormat="1" applyFont="1" applyFill="1" applyBorder="1" applyAlignment="1">
      <alignment horizontal="justify" vertical="center"/>
    </xf>
    <xf numFmtId="49" fontId="104" fillId="38" borderId="12" xfId="0" applyNumberFormat="1" applyFont="1" applyFill="1" applyBorder="1" applyAlignment="1">
      <alignment horizontal="justify" vertical="center"/>
    </xf>
    <xf numFmtId="0" fontId="104" fillId="39" borderId="12" xfId="0" applyFont="1" applyFill="1" applyBorder="1" applyAlignment="1">
      <alignment horizontal="justify" vertical="center" wrapText="1"/>
    </xf>
    <xf numFmtId="0" fontId="104" fillId="39" borderId="12" xfId="0" applyFont="1" applyFill="1" applyBorder="1" applyAlignment="1">
      <alignment horizontal="justify" vertical="center" textRotation="90" wrapText="1"/>
    </xf>
    <xf numFmtId="0" fontId="109" fillId="38" borderId="12" xfId="0" applyFont="1" applyFill="1" applyBorder="1" applyAlignment="1">
      <alignment horizontal="justify" vertical="center"/>
    </xf>
    <xf numFmtId="166" fontId="109" fillId="38" borderId="12" xfId="0" applyNumberFormat="1" applyFont="1" applyFill="1" applyBorder="1" applyAlignment="1">
      <alignment horizontal="justify" vertical="center"/>
    </xf>
    <xf numFmtId="166" fontId="110" fillId="38" borderId="12" xfId="0" applyNumberFormat="1" applyFont="1" applyFill="1" applyBorder="1" applyAlignment="1">
      <alignment horizontal="justify" vertical="center"/>
    </xf>
    <xf numFmtId="166" fontId="109" fillId="38" borderId="29" xfId="0" applyNumberFormat="1" applyFont="1" applyFill="1" applyBorder="1" applyAlignment="1">
      <alignment horizontal="justify" vertical="center"/>
    </xf>
    <xf numFmtId="166" fontId="104" fillId="38" borderId="18" xfId="0" applyNumberFormat="1" applyFont="1" applyFill="1" applyBorder="1" applyAlignment="1">
      <alignment horizontal="justify" vertical="center"/>
    </xf>
    <xf numFmtId="49" fontId="83" fillId="38" borderId="18" xfId="0" applyNumberFormat="1" applyFont="1" applyFill="1" applyBorder="1" applyAlignment="1">
      <alignment horizontal="justify" vertical="center" wrapText="1"/>
    </xf>
    <xf numFmtId="49" fontId="84" fillId="38" borderId="18" xfId="0" applyNumberFormat="1" applyFont="1" applyFill="1" applyBorder="1" applyAlignment="1">
      <alignment horizontal="justify" vertical="center" wrapText="1"/>
    </xf>
    <xf numFmtId="49" fontId="84" fillId="38" borderId="20" xfId="0" applyNumberFormat="1" applyFont="1" applyFill="1" applyBorder="1" applyAlignment="1">
      <alignment horizontal="justify" vertical="center" wrapText="1"/>
    </xf>
    <xf numFmtId="49" fontId="84" fillId="38" borderId="12" xfId="0" applyNumberFormat="1" applyFont="1" applyFill="1" applyBorder="1" applyAlignment="1">
      <alignment horizontal="justify" vertical="center" wrapText="1"/>
    </xf>
    <xf numFmtId="49" fontId="104" fillId="38" borderId="0" xfId="0" applyNumberFormat="1" applyFont="1" applyFill="1" applyAlignment="1">
      <alignment horizontal="justify" vertical="center"/>
    </xf>
    <xf numFmtId="0" fontId="104" fillId="39" borderId="18" xfId="0" applyFont="1" applyFill="1" applyBorder="1" applyAlignment="1">
      <alignment horizontal="justify" vertical="center" wrapText="1"/>
    </xf>
    <xf numFmtId="0" fontId="104" fillId="39" borderId="18" xfId="0" applyFont="1" applyFill="1" applyBorder="1" applyAlignment="1">
      <alignment horizontal="justify" vertical="center" textRotation="90" wrapText="1"/>
    </xf>
    <xf numFmtId="0" fontId="109" fillId="38" borderId="18" xfId="0" applyFont="1" applyFill="1" applyBorder="1" applyAlignment="1">
      <alignment horizontal="justify" vertical="center"/>
    </xf>
    <xf numFmtId="166" fontId="109" fillId="38" borderId="18" xfId="0" applyNumberFormat="1" applyFont="1" applyFill="1" applyBorder="1" applyAlignment="1">
      <alignment horizontal="justify" vertical="center"/>
    </xf>
    <xf numFmtId="9" fontId="109" fillId="0" borderId="12" xfId="22" applyFont="1" applyFill="1" applyBorder="1" applyAlignment="1">
      <alignment horizontal="justify" vertical="center"/>
    </xf>
    <xf numFmtId="2" fontId="48" fillId="28" borderId="12" xfId="0" applyNumberFormat="1" applyFont="1" applyFill="1" applyBorder="1" applyAlignment="1">
      <alignment horizontal="justify" vertical="center" wrapText="1"/>
    </xf>
    <xf numFmtId="0" fontId="48" fillId="28" borderId="12" xfId="0" applyFont="1" applyFill="1" applyBorder="1" applyAlignment="1">
      <alignment horizontal="justify" vertical="center" wrapText="1"/>
    </xf>
    <xf numFmtId="0" fontId="47" fillId="14" borderId="8" xfId="0" applyFont="1" applyFill="1" applyBorder="1" applyAlignment="1">
      <alignment horizontal="justify" vertical="center"/>
    </xf>
    <xf numFmtId="49" fontId="48" fillId="24" borderId="23" xfId="0" applyNumberFormat="1" applyFont="1" applyFill="1" applyBorder="1" applyAlignment="1">
      <alignment horizontal="justify" vertical="center" wrapText="1"/>
    </xf>
    <xf numFmtId="49" fontId="47" fillId="24" borderId="24" xfId="0" applyNumberFormat="1" applyFont="1" applyFill="1" applyBorder="1" applyAlignment="1">
      <alignment horizontal="justify" vertical="center" wrapText="1"/>
    </xf>
    <xf numFmtId="49" fontId="47" fillId="24" borderId="36" xfId="0" applyNumberFormat="1" applyFont="1" applyFill="1" applyBorder="1" applyAlignment="1">
      <alignment horizontal="justify" vertical="center" wrapText="1"/>
    </xf>
    <xf numFmtId="0" fontId="105" fillId="5" borderId="12" xfId="0" applyFont="1" applyFill="1" applyBorder="1" applyAlignment="1">
      <alignment horizontal="justify" vertical="center"/>
    </xf>
    <xf numFmtId="0" fontId="47" fillId="24" borderId="9" xfId="0" applyFont="1" applyFill="1" applyBorder="1" applyAlignment="1">
      <alignment horizontal="justify" vertical="center"/>
    </xf>
    <xf numFmtId="166" fontId="47" fillId="24" borderId="29" xfId="0" applyNumberFormat="1" applyFont="1" applyFill="1" applyBorder="1" applyAlignment="1">
      <alignment horizontal="justify" vertical="center"/>
    </xf>
    <xf numFmtId="49" fontId="47" fillId="24" borderId="25" xfId="0" applyNumberFormat="1" applyFont="1" applyFill="1" applyBorder="1" applyAlignment="1">
      <alignment horizontal="justify" vertical="center" wrapText="1"/>
    </xf>
    <xf numFmtId="166" fontId="47" fillId="19" borderId="21" xfId="0" applyNumberFormat="1" applyFont="1" applyFill="1" applyBorder="1" applyAlignment="1">
      <alignment horizontal="justify" vertical="center"/>
    </xf>
    <xf numFmtId="49" fontId="47" fillId="19" borderId="38" xfId="0" applyNumberFormat="1" applyFont="1" applyFill="1" applyBorder="1" applyAlignment="1">
      <alignment horizontal="justify" vertical="center" wrapText="1"/>
    </xf>
    <xf numFmtId="166" fontId="47" fillId="19" borderId="0" xfId="0" applyNumberFormat="1" applyFont="1" applyFill="1" applyAlignment="1">
      <alignment horizontal="justify" vertical="center"/>
    </xf>
    <xf numFmtId="166" fontId="48" fillId="19" borderId="20" xfId="0" applyNumberFormat="1" applyFont="1" applyFill="1" applyBorder="1" applyAlignment="1">
      <alignment horizontal="justify" vertical="center"/>
    </xf>
    <xf numFmtId="166" fontId="109" fillId="0" borderId="12" xfId="0" applyNumberFormat="1" applyFont="1" applyBorder="1" applyAlignment="1">
      <alignment horizontal="justify" vertical="center"/>
    </xf>
    <xf numFmtId="9" fontId="98" fillId="24" borderId="12" xfId="22" applyFont="1" applyFill="1" applyBorder="1" applyAlignment="1">
      <alignment horizontal="justify" vertical="center"/>
    </xf>
    <xf numFmtId="166" fontId="100" fillId="24" borderId="12" xfId="0" applyNumberFormat="1" applyFont="1" applyFill="1" applyBorder="1" applyAlignment="1">
      <alignment horizontal="justify" vertical="center" wrapText="1"/>
    </xf>
    <xf numFmtId="49" fontId="98" fillId="24" borderId="12" xfId="0" applyNumberFormat="1" applyFont="1" applyFill="1" applyBorder="1" applyAlignment="1">
      <alignment horizontal="justify" vertical="center" wrapText="1"/>
    </xf>
    <xf numFmtId="9" fontId="105" fillId="0" borderId="18" xfId="22" applyFont="1" applyFill="1" applyBorder="1" applyAlignment="1">
      <alignment horizontal="justify" vertical="center"/>
    </xf>
    <xf numFmtId="9" fontId="105" fillId="14" borderId="18" xfId="22" applyFont="1" applyFill="1" applyBorder="1" applyAlignment="1">
      <alignment horizontal="justify" vertical="center"/>
    </xf>
    <xf numFmtId="166" fontId="105" fillId="14" borderId="20" xfId="0" applyNumberFormat="1" applyFont="1" applyFill="1" applyBorder="1" applyAlignment="1">
      <alignment horizontal="justify" vertical="center"/>
    </xf>
    <xf numFmtId="166" fontId="47" fillId="14" borderId="38" xfId="0" applyNumberFormat="1" applyFont="1" applyFill="1" applyBorder="1" applyAlignment="1">
      <alignment horizontal="justify" vertical="center"/>
    </xf>
    <xf numFmtId="166" fontId="105" fillId="24" borderId="18" xfId="0" applyNumberFormat="1" applyFont="1" applyFill="1" applyBorder="1" applyAlignment="1">
      <alignment horizontal="justify" vertical="center"/>
    </xf>
    <xf numFmtId="166" fontId="49" fillId="24" borderId="15" xfId="0" applyNumberFormat="1" applyFont="1" applyFill="1" applyBorder="1" applyAlignment="1">
      <alignment horizontal="justify" vertical="center"/>
    </xf>
    <xf numFmtId="166" fontId="48" fillId="24" borderId="29" xfId="0" applyNumberFormat="1" applyFont="1" applyFill="1" applyBorder="1" applyAlignment="1">
      <alignment horizontal="justify" vertical="center"/>
    </xf>
    <xf numFmtId="166" fontId="47" fillId="24" borderId="25" xfId="0" applyNumberFormat="1" applyFont="1" applyFill="1" applyBorder="1" applyAlignment="1">
      <alignment horizontal="justify" vertical="center"/>
    </xf>
    <xf numFmtId="9" fontId="109" fillId="14" borderId="12" xfId="22" applyFont="1" applyFill="1" applyBorder="1" applyAlignment="1">
      <alignment horizontal="justify" vertical="center"/>
    </xf>
    <xf numFmtId="49" fontId="48" fillId="19" borderId="38" xfId="0" applyNumberFormat="1" applyFont="1" applyFill="1" applyBorder="1" applyAlignment="1">
      <alignment horizontal="justify" vertical="center" wrapText="1"/>
    </xf>
    <xf numFmtId="49" fontId="48" fillId="19" borderId="20" xfId="0" applyNumberFormat="1" applyFont="1" applyFill="1" applyBorder="1" applyAlignment="1">
      <alignment horizontal="justify" vertical="center" wrapText="1"/>
    </xf>
    <xf numFmtId="49" fontId="49" fillId="20" borderId="12" xfId="0" applyNumberFormat="1" applyFont="1" applyFill="1" applyBorder="1" applyAlignment="1">
      <alignment horizontal="justify" vertical="center"/>
    </xf>
    <xf numFmtId="0" fontId="96" fillId="21" borderId="12" xfId="0" applyFont="1" applyFill="1" applyBorder="1" applyAlignment="1">
      <alignment horizontal="justify" vertical="center" wrapText="1"/>
    </xf>
    <xf numFmtId="9" fontId="49" fillId="20" borderId="12" xfId="22" applyFont="1" applyFill="1" applyBorder="1" applyAlignment="1">
      <alignment horizontal="justify" vertical="center"/>
    </xf>
    <xf numFmtId="49" fontId="49" fillId="20" borderId="12" xfId="0" applyNumberFormat="1" applyFont="1" applyFill="1" applyBorder="1" applyAlignment="1">
      <alignment horizontal="justify" vertical="center" wrapText="1"/>
    </xf>
    <xf numFmtId="49" fontId="48" fillId="20" borderId="12" xfId="0" applyNumberFormat="1" applyFont="1" applyFill="1" applyBorder="1" applyAlignment="1">
      <alignment horizontal="justify" vertical="center" wrapText="1"/>
    </xf>
    <xf numFmtId="49" fontId="47" fillId="20" borderId="12" xfId="0" applyNumberFormat="1" applyFont="1" applyFill="1" applyBorder="1" applyAlignment="1">
      <alignment horizontal="justify" vertical="center" wrapText="1"/>
    </xf>
    <xf numFmtId="166" fontId="118" fillId="24" borderId="12" xfId="0" applyNumberFormat="1" applyFont="1" applyFill="1" applyBorder="1" applyAlignment="1">
      <alignment horizontal="justify" vertical="center"/>
    </xf>
    <xf numFmtId="9" fontId="109" fillId="23" borderId="12" xfId="22" applyFont="1" applyFill="1" applyBorder="1" applyAlignment="1">
      <alignment horizontal="justify" vertical="center"/>
    </xf>
    <xf numFmtId="0" fontId="44" fillId="0" borderId="0" xfId="0" applyFont="1" applyAlignment="1">
      <alignment horizontal="center"/>
    </xf>
    <xf numFmtId="166" fontId="49" fillId="24" borderId="36" xfId="0" applyNumberFormat="1" applyFont="1" applyFill="1" applyBorder="1" applyAlignment="1">
      <alignment horizontal="center" vertical="center"/>
    </xf>
    <xf numFmtId="166" fontId="47" fillId="24" borderId="15" xfId="0" applyNumberFormat="1" applyFont="1" applyFill="1" applyBorder="1" applyAlignment="1">
      <alignment horizontal="center" vertical="center"/>
    </xf>
    <xf numFmtId="166" fontId="84" fillId="20" borderId="15" xfId="0" applyNumberFormat="1" applyFont="1" applyFill="1" applyBorder="1" applyAlignment="1">
      <alignment horizontal="center" vertical="center"/>
    </xf>
    <xf numFmtId="166" fontId="84" fillId="20" borderId="30" xfId="0" applyNumberFormat="1" applyFont="1" applyFill="1" applyBorder="1" applyAlignment="1">
      <alignment horizontal="center" vertical="center"/>
    </xf>
    <xf numFmtId="166" fontId="47" fillId="38" borderId="15" xfId="0" applyNumberFormat="1" applyFont="1" applyFill="1" applyBorder="1" applyAlignment="1">
      <alignment horizontal="center" vertical="center"/>
    </xf>
    <xf numFmtId="166" fontId="47" fillId="38" borderId="30" xfId="0" applyNumberFormat="1" applyFont="1" applyFill="1" applyBorder="1" applyAlignment="1">
      <alignment horizontal="center" vertical="center"/>
    </xf>
    <xf numFmtId="166" fontId="109" fillId="38" borderId="0" xfId="0" applyNumberFormat="1" applyFont="1" applyFill="1" applyAlignment="1">
      <alignment horizontal="center" vertical="center"/>
    </xf>
    <xf numFmtId="166" fontId="49" fillId="24" borderId="15" xfId="0" applyNumberFormat="1" applyFont="1" applyFill="1" applyBorder="1" applyAlignment="1">
      <alignment horizontal="center" vertical="center"/>
    </xf>
    <xf numFmtId="166" fontId="49" fillId="20" borderId="15" xfId="0" applyNumberFormat="1" applyFont="1" applyFill="1" applyBorder="1" applyAlignment="1">
      <alignment horizontal="center" vertical="center"/>
    </xf>
    <xf numFmtId="166" fontId="84" fillId="23" borderId="13" xfId="0" applyNumberFormat="1" applyFont="1" applyFill="1" applyBorder="1" applyAlignment="1">
      <alignment horizontal="justify" vertical="center"/>
    </xf>
    <xf numFmtId="2" fontId="84" fillId="0" borderId="12" xfId="0" applyNumberFormat="1" applyFont="1" applyBorder="1" applyAlignment="1">
      <alignment horizontal="justify" vertical="center"/>
    </xf>
    <xf numFmtId="2" fontId="84" fillId="14" borderId="12" xfId="0" applyNumberFormat="1" applyFont="1" applyFill="1" applyBorder="1" applyAlignment="1">
      <alignment horizontal="justify" vertical="center"/>
    </xf>
    <xf numFmtId="2" fontId="98" fillId="24" borderId="12" xfId="0" applyNumberFormat="1" applyFont="1" applyFill="1" applyBorder="1" applyAlignment="1">
      <alignment horizontal="justify" vertical="center"/>
    </xf>
    <xf numFmtId="166" fontId="84" fillId="14" borderId="13" xfId="0" applyNumberFormat="1" applyFont="1" applyFill="1" applyBorder="1" applyAlignment="1">
      <alignment horizontal="justify" vertical="center"/>
    </xf>
    <xf numFmtId="166" fontId="100" fillId="24" borderId="13" xfId="0" applyNumberFormat="1" applyFont="1" applyFill="1" applyBorder="1" applyAlignment="1">
      <alignment horizontal="justify" vertical="center"/>
    </xf>
    <xf numFmtId="0" fontId="84" fillId="23" borderId="12" xfId="0" applyFont="1" applyFill="1" applyBorder="1" applyAlignment="1">
      <alignment horizontal="justify" vertical="center"/>
    </xf>
    <xf numFmtId="0" fontId="84" fillId="23" borderId="13" xfId="0" applyFont="1" applyFill="1" applyBorder="1" applyAlignment="1">
      <alignment horizontal="justify" vertical="center"/>
    </xf>
    <xf numFmtId="166" fontId="84" fillId="0" borderId="29" xfId="0" applyNumberFormat="1" applyFont="1" applyBorder="1" applyAlignment="1">
      <alignment horizontal="justify" vertical="center"/>
    </xf>
    <xf numFmtId="0" fontId="48" fillId="41" borderId="9" xfId="0" applyFont="1" applyFill="1" applyBorder="1" applyAlignment="1">
      <alignment horizontal="justify" vertical="center"/>
    </xf>
    <xf numFmtId="166" fontId="84" fillId="41" borderId="13" xfId="0" applyNumberFormat="1" applyFont="1" applyFill="1" applyBorder="1" applyAlignment="1">
      <alignment horizontal="justify" vertical="center"/>
    </xf>
    <xf numFmtId="49" fontId="104" fillId="24" borderId="6" xfId="0" applyNumberFormat="1" applyFont="1" applyFill="1" applyBorder="1" applyAlignment="1">
      <alignment horizontal="justify" vertical="center"/>
    </xf>
    <xf numFmtId="0" fontId="104" fillId="24" borderId="6" xfId="0" applyFont="1" applyFill="1" applyBorder="1" applyAlignment="1">
      <alignment horizontal="justify" vertical="center" wrapText="1"/>
    </xf>
    <xf numFmtId="0" fontId="104" fillId="24" borderId="6" xfId="0" applyFont="1" applyFill="1" applyBorder="1" applyAlignment="1">
      <alignment horizontal="justify" vertical="center" textRotation="90" wrapText="1"/>
    </xf>
    <xf numFmtId="0" fontId="104" fillId="24" borderId="6" xfId="0" applyFont="1" applyFill="1" applyBorder="1" applyAlignment="1">
      <alignment horizontal="justify" vertical="center"/>
    </xf>
    <xf numFmtId="166" fontId="105" fillId="24" borderId="13" xfId="0" applyNumberFormat="1" applyFont="1" applyFill="1" applyBorder="1" applyAlignment="1">
      <alignment horizontal="justify" vertical="center"/>
    </xf>
    <xf numFmtId="166" fontId="109" fillId="24" borderId="12" xfId="0" applyNumberFormat="1" applyFont="1" applyFill="1" applyBorder="1" applyAlignment="1">
      <alignment horizontal="justify" vertical="center"/>
    </xf>
    <xf numFmtId="9" fontId="109" fillId="24" borderId="12" xfId="22" applyFont="1" applyFill="1" applyBorder="1" applyAlignment="1">
      <alignment horizontal="justify" vertical="center"/>
    </xf>
    <xf numFmtId="166" fontId="109" fillId="24" borderId="36" xfId="0" applyNumberFormat="1" applyFont="1" applyFill="1" applyBorder="1" applyAlignment="1">
      <alignment horizontal="justify" vertical="center"/>
    </xf>
    <xf numFmtId="9" fontId="47" fillId="41" borderId="12" xfId="22" applyFont="1" applyFill="1" applyBorder="1" applyAlignment="1">
      <alignment horizontal="justify" vertical="center"/>
    </xf>
    <xf numFmtId="166" fontId="84" fillId="23" borderId="12" xfId="22" applyNumberFormat="1" applyFont="1" applyFill="1" applyBorder="1" applyAlignment="1">
      <alignment horizontal="justify" vertical="center"/>
    </xf>
    <xf numFmtId="0" fontId="48" fillId="43" borderId="6" xfId="0" applyFont="1" applyFill="1" applyBorder="1" applyAlignment="1">
      <alignment horizontal="justify" vertical="center"/>
    </xf>
    <xf numFmtId="166" fontId="84" fillId="43" borderId="12" xfId="0" applyNumberFormat="1" applyFont="1" applyFill="1" applyBorder="1" applyAlignment="1">
      <alignment horizontal="justify" vertical="center"/>
    </xf>
    <xf numFmtId="9" fontId="84" fillId="43" borderId="12" xfId="22" applyFont="1" applyFill="1" applyBorder="1" applyAlignment="1">
      <alignment horizontal="justify" vertical="center"/>
    </xf>
    <xf numFmtId="166" fontId="84" fillId="43" borderId="13" xfId="0" applyNumberFormat="1" applyFont="1" applyFill="1" applyBorder="1" applyAlignment="1">
      <alignment horizontal="justify" vertical="center"/>
    </xf>
    <xf numFmtId="166" fontId="47" fillId="43" borderId="12" xfId="0" applyNumberFormat="1" applyFont="1" applyFill="1" applyBorder="1" applyAlignment="1">
      <alignment horizontal="justify" vertical="center"/>
    </xf>
    <xf numFmtId="9" fontId="47" fillId="43" borderId="12" xfId="22" applyFont="1" applyFill="1" applyBorder="1" applyAlignment="1">
      <alignment horizontal="justify" vertical="center"/>
    </xf>
    <xf numFmtId="49" fontId="48" fillId="43" borderId="17" xfId="0" applyNumberFormat="1" applyFont="1" applyFill="1" applyBorder="1" applyAlignment="1">
      <alignment horizontal="justify" vertical="center" wrapText="1"/>
    </xf>
    <xf numFmtId="49" fontId="48" fillId="43" borderId="20" xfId="0" applyNumberFormat="1" applyFont="1" applyFill="1" applyBorder="1" applyAlignment="1">
      <alignment horizontal="justify" vertical="center" wrapText="1"/>
    </xf>
    <xf numFmtId="0" fontId="47" fillId="43" borderId="6" xfId="0" applyFont="1" applyFill="1" applyBorder="1" applyAlignment="1">
      <alignment horizontal="justify" vertical="center"/>
    </xf>
    <xf numFmtId="166" fontId="98" fillId="24" borderId="13" xfId="0" applyNumberFormat="1" applyFont="1" applyFill="1" applyBorder="1" applyAlignment="1">
      <alignment horizontal="justify" vertical="center"/>
    </xf>
    <xf numFmtId="0" fontId="49" fillId="41" borderId="6" xfId="0" applyFont="1" applyFill="1" applyBorder="1" applyAlignment="1">
      <alignment horizontal="justify" vertical="center"/>
    </xf>
    <xf numFmtId="166" fontId="98" fillId="41" borderId="13" xfId="0" applyNumberFormat="1" applyFont="1" applyFill="1" applyBorder="1" applyAlignment="1">
      <alignment horizontal="justify" vertical="center"/>
    </xf>
    <xf numFmtId="9" fontId="83" fillId="41" borderId="12" xfId="22" applyFont="1" applyFill="1" applyBorder="1" applyAlignment="1">
      <alignment horizontal="justify" vertical="center"/>
    </xf>
    <xf numFmtId="166" fontId="83" fillId="41" borderId="13" xfId="0" applyNumberFormat="1" applyFont="1" applyFill="1" applyBorder="1" applyAlignment="1">
      <alignment horizontal="justify" vertical="center"/>
    </xf>
    <xf numFmtId="49" fontId="133" fillId="24" borderId="6" xfId="0" applyNumberFormat="1" applyFont="1" applyFill="1" applyBorder="1" applyAlignment="1">
      <alignment horizontal="justify" vertical="center"/>
    </xf>
    <xf numFmtId="0" fontId="133" fillId="24" borderId="6" xfId="0" applyFont="1" applyFill="1" applyBorder="1" applyAlignment="1">
      <alignment horizontal="justify" vertical="center" textRotation="90" wrapText="1"/>
    </xf>
    <xf numFmtId="0" fontId="77" fillId="24" borderId="0" xfId="0" applyFont="1" applyFill="1" applyAlignment="1">
      <alignment horizontal="justify" vertical="center"/>
    </xf>
    <xf numFmtId="0" fontId="96" fillId="24" borderId="81" xfId="0" applyFont="1" applyFill="1" applyBorder="1" applyAlignment="1">
      <alignment horizontal="justify" vertical="center" wrapText="1"/>
    </xf>
    <xf numFmtId="166" fontId="84" fillId="41" borderId="23" xfId="0" applyNumberFormat="1" applyFont="1" applyFill="1" applyBorder="1" applyAlignment="1">
      <alignment horizontal="justify" vertical="center"/>
    </xf>
    <xf numFmtId="166" fontId="84" fillId="23" borderId="13" xfId="0" applyNumberFormat="1" applyFont="1" applyFill="1" applyBorder="1" applyAlignment="1">
      <alignment horizontal="justify" vertical="center" wrapText="1"/>
    </xf>
    <xf numFmtId="0" fontId="47" fillId="23" borderId="15" xfId="0" applyFont="1" applyFill="1" applyBorder="1" applyAlignment="1">
      <alignment horizontal="justify" vertical="center" wrapText="1"/>
    </xf>
    <xf numFmtId="0" fontId="48" fillId="31" borderId="9" xfId="0" applyFont="1" applyFill="1" applyBorder="1" applyAlignment="1">
      <alignment horizontal="justify" vertical="center"/>
    </xf>
    <xf numFmtId="166" fontId="84" fillId="31" borderId="18" xfId="0" applyNumberFormat="1" applyFont="1" applyFill="1" applyBorder="1" applyAlignment="1">
      <alignment horizontal="justify" vertical="center"/>
    </xf>
    <xf numFmtId="9" fontId="84" fillId="31" borderId="12" xfId="22" applyFont="1" applyFill="1" applyBorder="1" applyAlignment="1">
      <alignment horizontal="justify" vertical="center"/>
    </xf>
    <xf numFmtId="166" fontId="84" fillId="31" borderId="29" xfId="0" applyNumberFormat="1" applyFont="1" applyFill="1" applyBorder="1" applyAlignment="1">
      <alignment horizontal="justify" vertical="center"/>
    </xf>
    <xf numFmtId="166" fontId="47" fillId="31" borderId="12" xfId="0" applyNumberFormat="1" applyFont="1" applyFill="1" applyBorder="1" applyAlignment="1">
      <alignment horizontal="justify" vertical="center"/>
    </xf>
    <xf numFmtId="166" fontId="84" fillId="31" borderId="12" xfId="0" applyNumberFormat="1" applyFont="1" applyFill="1" applyBorder="1" applyAlignment="1">
      <alignment horizontal="justify" vertical="center"/>
    </xf>
    <xf numFmtId="49" fontId="47" fillId="31" borderId="17" xfId="0" applyNumberFormat="1" applyFont="1" applyFill="1" applyBorder="1" applyAlignment="1">
      <alignment horizontal="justify" vertical="center" wrapText="1"/>
    </xf>
    <xf numFmtId="0" fontId="47" fillId="31" borderId="6" xfId="0" applyFont="1" applyFill="1" applyBorder="1" applyAlignment="1">
      <alignment horizontal="justify" vertical="center"/>
    </xf>
    <xf numFmtId="166" fontId="84" fillId="31" borderId="13" xfId="0" applyNumberFormat="1" applyFont="1" applyFill="1" applyBorder="1" applyAlignment="1">
      <alignment horizontal="justify" vertical="center"/>
    </xf>
    <xf numFmtId="49" fontId="47" fillId="31" borderId="20" xfId="0" applyNumberFormat="1" applyFont="1" applyFill="1" applyBorder="1" applyAlignment="1">
      <alignment horizontal="justify" vertical="center" wrapText="1"/>
    </xf>
    <xf numFmtId="0" fontId="48" fillId="31" borderId="6" xfId="0" applyFont="1" applyFill="1" applyBorder="1" applyAlignment="1">
      <alignment horizontal="justify" vertical="center"/>
    </xf>
    <xf numFmtId="166" fontId="47" fillId="31" borderId="28" xfId="0" applyNumberFormat="1" applyFont="1" applyFill="1" applyBorder="1" applyAlignment="1">
      <alignment horizontal="justify" vertical="center"/>
    </xf>
    <xf numFmtId="0" fontId="47" fillId="31" borderId="7" xfId="0" applyFont="1" applyFill="1" applyBorder="1" applyAlignment="1">
      <alignment horizontal="justify" vertical="center"/>
    </xf>
    <xf numFmtId="166" fontId="84" fillId="31" borderId="17" xfId="0" applyNumberFormat="1" applyFont="1" applyFill="1" applyBorder="1" applyAlignment="1">
      <alignment horizontal="justify" vertical="center"/>
    </xf>
    <xf numFmtId="9" fontId="84" fillId="31" borderId="17" xfId="22" applyFont="1" applyFill="1" applyBorder="1" applyAlignment="1">
      <alignment horizontal="justify" vertical="center"/>
    </xf>
    <xf numFmtId="166" fontId="84" fillId="31" borderId="23" xfId="0" applyNumberFormat="1" applyFont="1" applyFill="1" applyBorder="1" applyAlignment="1">
      <alignment horizontal="justify" vertical="center"/>
    </xf>
    <xf numFmtId="166" fontId="47" fillId="31" borderId="17" xfId="0" applyNumberFormat="1" applyFont="1" applyFill="1" applyBorder="1" applyAlignment="1">
      <alignment horizontal="justify" vertical="center"/>
    </xf>
    <xf numFmtId="9" fontId="47" fillId="23" borderId="17" xfId="22" applyFont="1" applyFill="1" applyBorder="1" applyAlignment="1">
      <alignment horizontal="justify" vertical="center"/>
    </xf>
    <xf numFmtId="166" fontId="47" fillId="31" borderId="36" xfId="0" applyNumberFormat="1" applyFont="1" applyFill="1" applyBorder="1" applyAlignment="1">
      <alignment horizontal="justify" vertical="center"/>
    </xf>
    <xf numFmtId="0" fontId="48" fillId="28" borderId="12" xfId="0" applyFont="1" applyFill="1" applyBorder="1" applyAlignment="1">
      <alignment horizontal="justify" vertical="center"/>
    </xf>
    <xf numFmtId="166" fontId="48" fillId="28" borderId="12" xfId="0" applyNumberFormat="1" applyFont="1" applyFill="1" applyBorder="1" applyAlignment="1">
      <alignment horizontal="justify" vertical="center"/>
    </xf>
    <xf numFmtId="9" fontId="48" fillId="28" borderId="12" xfId="22" applyFont="1" applyFill="1" applyBorder="1" applyAlignment="1">
      <alignment horizontal="justify" vertical="center"/>
    </xf>
    <xf numFmtId="0" fontId="48" fillId="14" borderId="12" xfId="0" applyFont="1" applyFill="1" applyBorder="1" applyAlignment="1">
      <alignment horizontal="justify" vertical="center"/>
    </xf>
    <xf numFmtId="9" fontId="48" fillId="14" borderId="12" xfId="22" applyFont="1" applyFill="1" applyBorder="1" applyAlignment="1">
      <alignment horizontal="justify" vertical="center"/>
    </xf>
    <xf numFmtId="9" fontId="96" fillId="41" borderId="12" xfId="22" applyFont="1" applyFill="1" applyBorder="1" applyAlignment="1">
      <alignment horizontal="justify" vertical="center"/>
    </xf>
    <xf numFmtId="49" fontId="47" fillId="5" borderId="12" xfId="0" applyNumberFormat="1" applyFont="1" applyFill="1" applyBorder="1" applyAlignment="1">
      <alignment horizontal="justify" vertical="center"/>
    </xf>
    <xf numFmtId="0" fontId="98" fillId="5" borderId="12" xfId="0" applyFont="1" applyFill="1" applyBorder="1" applyAlignment="1">
      <alignment horizontal="justify" vertical="center" wrapText="1"/>
    </xf>
    <xf numFmtId="0" fontId="96" fillId="5" borderId="12" xfId="0" applyFont="1" applyFill="1" applyBorder="1" applyAlignment="1">
      <alignment horizontal="justify" vertical="center" textRotation="90" wrapText="1"/>
    </xf>
    <xf numFmtId="0" fontId="96" fillId="5" borderId="12" xfId="0" applyFont="1" applyFill="1" applyBorder="1" applyAlignment="1">
      <alignment horizontal="justify" vertical="center"/>
    </xf>
    <xf numFmtId="166" fontId="100" fillId="5" borderId="12" xfId="0" applyNumberFormat="1" applyFont="1" applyFill="1" applyBorder="1" applyAlignment="1">
      <alignment horizontal="justify" vertical="center"/>
    </xf>
    <xf numFmtId="9" fontId="100" fillId="5" borderId="12" xfId="22" applyFont="1" applyFill="1" applyBorder="1" applyAlignment="1">
      <alignment horizontal="justify" vertical="center"/>
    </xf>
    <xf numFmtId="166" fontId="100" fillId="5" borderId="13" xfId="0" applyNumberFormat="1" applyFont="1" applyFill="1" applyBorder="1" applyAlignment="1">
      <alignment horizontal="justify" vertical="center"/>
    </xf>
    <xf numFmtId="9" fontId="49" fillId="5" borderId="12" xfId="22" applyFont="1" applyFill="1" applyBorder="1" applyAlignment="1">
      <alignment horizontal="justify" vertical="center"/>
    </xf>
    <xf numFmtId="166" fontId="98" fillId="5" borderId="12" xfId="0" applyNumberFormat="1" applyFont="1" applyFill="1" applyBorder="1" applyAlignment="1">
      <alignment horizontal="justify" vertical="center"/>
    </xf>
    <xf numFmtId="0" fontId="48" fillId="31" borderId="22" xfId="0" applyFont="1" applyFill="1" applyBorder="1" applyAlignment="1">
      <alignment horizontal="justify" vertical="center"/>
    </xf>
    <xf numFmtId="166" fontId="84" fillId="31" borderId="9" xfId="0" applyNumberFormat="1" applyFont="1" applyFill="1" applyBorder="1" applyAlignment="1">
      <alignment horizontal="justify" vertical="center"/>
    </xf>
    <xf numFmtId="166" fontId="84" fillId="31" borderId="14" xfId="0" applyNumberFormat="1" applyFont="1" applyFill="1" applyBorder="1" applyAlignment="1">
      <alignment horizontal="justify" vertical="center"/>
    </xf>
    <xf numFmtId="166" fontId="47" fillId="31" borderId="0" xfId="0" applyNumberFormat="1" applyFont="1" applyFill="1" applyAlignment="1">
      <alignment horizontal="justify" vertical="center"/>
    </xf>
    <xf numFmtId="0" fontId="48" fillId="31" borderId="17" xfId="0" applyFont="1" applyFill="1" applyBorder="1" applyAlignment="1">
      <alignment horizontal="justify" vertical="center"/>
    </xf>
    <xf numFmtId="0" fontId="48" fillId="31" borderId="11" xfId="0" applyFont="1" applyFill="1" applyBorder="1" applyAlignment="1">
      <alignment horizontal="justify" vertical="center"/>
    </xf>
    <xf numFmtId="166" fontId="83" fillId="31" borderId="12" xfId="0" applyNumberFormat="1" applyFont="1" applyFill="1" applyBorder="1" applyAlignment="1">
      <alignment horizontal="justify" vertical="center"/>
    </xf>
    <xf numFmtId="166" fontId="83" fillId="31" borderId="13" xfId="0" applyNumberFormat="1" applyFont="1" applyFill="1" applyBorder="1" applyAlignment="1">
      <alignment horizontal="justify" vertical="center"/>
    </xf>
    <xf numFmtId="166" fontId="48" fillId="31" borderId="12" xfId="0" applyNumberFormat="1" applyFont="1" applyFill="1" applyBorder="1" applyAlignment="1">
      <alignment horizontal="justify" vertical="center"/>
    </xf>
    <xf numFmtId="0" fontId="48" fillId="31" borderId="20" xfId="0" applyFont="1" applyFill="1" applyBorder="1" applyAlignment="1">
      <alignment horizontal="justify" vertical="center"/>
    </xf>
    <xf numFmtId="0" fontId="47" fillId="31" borderId="11" xfId="0" applyFont="1" applyFill="1" applyBorder="1" applyAlignment="1">
      <alignment horizontal="justify" vertical="center"/>
    </xf>
    <xf numFmtId="166" fontId="47" fillId="31" borderId="30" xfId="0" applyNumberFormat="1" applyFont="1" applyFill="1" applyBorder="1" applyAlignment="1">
      <alignment horizontal="justify" vertical="center"/>
    </xf>
    <xf numFmtId="0" fontId="48" fillId="31" borderId="18" xfId="0" applyFont="1" applyFill="1" applyBorder="1" applyAlignment="1">
      <alignment horizontal="justify" vertical="center"/>
    </xf>
    <xf numFmtId="49" fontId="47" fillId="24" borderId="0" xfId="0" applyNumberFormat="1" applyFont="1" applyFill="1" applyAlignment="1">
      <alignment horizontal="justify" vertical="center"/>
    </xf>
    <xf numFmtId="0" fontId="47" fillId="24" borderId="0" xfId="0" applyFont="1" applyFill="1" applyAlignment="1">
      <alignment horizontal="justify" vertical="center" wrapText="1"/>
    </xf>
    <xf numFmtId="0" fontId="47" fillId="24" borderId="0" xfId="0" applyFont="1" applyFill="1" applyAlignment="1">
      <alignment horizontal="justify" vertical="center"/>
    </xf>
    <xf numFmtId="166" fontId="84" fillId="14" borderId="38" xfId="0" applyNumberFormat="1" applyFont="1" applyFill="1" applyBorder="1" applyAlignment="1">
      <alignment horizontal="justify" vertical="center"/>
    </xf>
    <xf numFmtId="49" fontId="47" fillId="19" borderId="0" xfId="0" applyNumberFormat="1" applyFont="1" applyFill="1" applyAlignment="1">
      <alignment horizontal="justify" vertical="center"/>
    </xf>
    <xf numFmtId="49" fontId="96" fillId="19" borderId="0" xfId="0" applyNumberFormat="1" applyFont="1" applyFill="1" applyAlignment="1">
      <alignment horizontal="justify" vertical="center" wrapText="1"/>
    </xf>
    <xf numFmtId="0" fontId="48" fillId="19" borderId="0" xfId="0" applyFont="1" applyFill="1" applyAlignment="1">
      <alignment horizontal="justify" vertical="center" textRotation="90" wrapText="1"/>
    </xf>
    <xf numFmtId="0" fontId="47" fillId="19" borderId="0" xfId="0" applyFont="1" applyFill="1" applyAlignment="1">
      <alignment horizontal="justify" vertical="center"/>
    </xf>
    <xf numFmtId="166" fontId="84" fillId="19" borderId="17" xfId="0" applyNumberFormat="1" applyFont="1" applyFill="1" applyBorder="1" applyAlignment="1">
      <alignment horizontal="justify" vertical="center"/>
    </xf>
    <xf numFmtId="9" fontId="84" fillId="19" borderId="17" xfId="22" applyFont="1" applyFill="1" applyBorder="1" applyAlignment="1">
      <alignment horizontal="justify" vertical="center"/>
    </xf>
    <xf numFmtId="166" fontId="84" fillId="19" borderId="23" xfId="0" applyNumberFormat="1" applyFont="1" applyFill="1" applyBorder="1" applyAlignment="1">
      <alignment horizontal="justify" vertical="center"/>
    </xf>
    <xf numFmtId="166" fontId="84" fillId="19" borderId="12" xfId="0" applyNumberFormat="1" applyFont="1" applyFill="1" applyBorder="1" applyAlignment="1">
      <alignment horizontal="justify" vertical="center"/>
    </xf>
    <xf numFmtId="166" fontId="47" fillId="19" borderId="36" xfId="0" applyNumberFormat="1" applyFont="1" applyFill="1" applyBorder="1" applyAlignment="1">
      <alignment horizontal="justify" vertical="center"/>
    </xf>
    <xf numFmtId="49" fontId="48" fillId="20" borderId="12" xfId="0" applyNumberFormat="1" applyFont="1" applyFill="1" applyBorder="1" applyAlignment="1">
      <alignment horizontal="justify" vertical="center"/>
    </xf>
    <xf numFmtId="0" fontId="48" fillId="20" borderId="12" xfId="0" applyFont="1" applyFill="1" applyBorder="1" applyAlignment="1">
      <alignment horizontal="justify" vertical="center" textRotation="90" wrapText="1"/>
    </xf>
    <xf numFmtId="0" fontId="48" fillId="20" borderId="12" xfId="0" applyFont="1" applyFill="1" applyBorder="1" applyAlignment="1">
      <alignment horizontal="justify" vertical="center"/>
    </xf>
    <xf numFmtId="9" fontId="83" fillId="20" borderId="12" xfId="22" applyFont="1" applyFill="1" applyBorder="1" applyAlignment="1">
      <alignment horizontal="justify" vertical="center"/>
    </xf>
    <xf numFmtId="166" fontId="48" fillId="5" borderId="12" xfId="0" applyNumberFormat="1" applyFont="1" applyFill="1" applyBorder="1" applyAlignment="1">
      <alignment horizontal="justify" vertical="center"/>
    </xf>
    <xf numFmtId="166" fontId="83" fillId="5" borderId="12" xfId="0" applyNumberFormat="1" applyFont="1" applyFill="1" applyBorder="1" applyAlignment="1">
      <alignment horizontal="justify" vertical="center"/>
    </xf>
    <xf numFmtId="166" fontId="48" fillId="20" borderId="12" xfId="0" applyNumberFormat="1" applyFont="1" applyFill="1" applyBorder="1" applyAlignment="1">
      <alignment horizontal="justify" vertical="center"/>
    </xf>
    <xf numFmtId="166" fontId="48" fillId="20" borderId="36" xfId="0" applyNumberFormat="1" applyFont="1" applyFill="1" applyBorder="1" applyAlignment="1">
      <alignment horizontal="justify" vertical="center"/>
    </xf>
    <xf numFmtId="49" fontId="48" fillId="20" borderId="20" xfId="0" applyNumberFormat="1" applyFont="1" applyFill="1" applyBorder="1" applyAlignment="1">
      <alignment horizontal="justify" vertical="center" wrapText="1"/>
    </xf>
    <xf numFmtId="49" fontId="48" fillId="20" borderId="18" xfId="0" applyNumberFormat="1" applyFont="1" applyFill="1" applyBorder="1" applyAlignment="1">
      <alignment horizontal="justify" vertical="center" wrapText="1"/>
    </xf>
    <xf numFmtId="0" fontId="48" fillId="20" borderId="20" xfId="0" applyFont="1" applyFill="1" applyBorder="1" applyAlignment="1">
      <alignment horizontal="justify" vertical="center"/>
    </xf>
    <xf numFmtId="0" fontId="48" fillId="11" borderId="12" xfId="0" applyFont="1" applyFill="1" applyBorder="1" applyAlignment="1">
      <alignment horizontal="justify" vertical="center" textRotation="90" wrapText="1"/>
    </xf>
    <xf numFmtId="166" fontId="83" fillId="11" borderId="12" xfId="0" applyNumberFormat="1" applyFont="1" applyFill="1" applyBorder="1" applyAlignment="1">
      <alignment horizontal="justify" vertical="center"/>
    </xf>
    <xf numFmtId="9" fontId="83" fillId="11" borderId="12" xfId="22" applyFont="1" applyFill="1" applyBorder="1" applyAlignment="1">
      <alignment horizontal="justify" vertical="center"/>
    </xf>
    <xf numFmtId="166" fontId="83" fillId="11" borderId="13" xfId="0" applyNumberFormat="1" applyFont="1" applyFill="1" applyBorder="1" applyAlignment="1">
      <alignment horizontal="justify" vertical="center"/>
    </xf>
    <xf numFmtId="166" fontId="48" fillId="11" borderId="12" xfId="0" applyNumberFormat="1" applyFont="1" applyFill="1" applyBorder="1" applyAlignment="1">
      <alignment horizontal="justify" vertical="center"/>
    </xf>
    <xf numFmtId="49" fontId="48" fillId="21" borderId="12" xfId="0" applyNumberFormat="1" applyFont="1" applyFill="1" applyBorder="1" applyAlignment="1">
      <alignment horizontal="justify" vertical="center" wrapText="1"/>
    </xf>
    <xf numFmtId="166" fontId="48" fillId="20" borderId="12" xfId="0" applyNumberFormat="1" applyFont="1" applyFill="1" applyBorder="1" applyAlignment="1">
      <alignment horizontal="justify" vertical="center" wrapText="1"/>
    </xf>
    <xf numFmtId="1" fontId="48" fillId="20" borderId="17" xfId="0" applyNumberFormat="1" applyFont="1" applyFill="1" applyBorder="1" applyAlignment="1">
      <alignment horizontal="justify" vertical="center"/>
    </xf>
    <xf numFmtId="1" fontId="48" fillId="20" borderId="20" xfId="0" applyNumberFormat="1" applyFont="1" applyFill="1" applyBorder="1" applyAlignment="1">
      <alignment horizontal="justify" vertical="center"/>
    </xf>
    <xf numFmtId="166" fontId="48" fillId="32" borderId="12" xfId="0" applyNumberFormat="1" applyFont="1" applyFill="1" applyBorder="1" applyAlignment="1">
      <alignment horizontal="justify" vertical="center"/>
    </xf>
    <xf numFmtId="166" fontId="83" fillId="32" borderId="12" xfId="0" applyNumberFormat="1" applyFont="1" applyFill="1" applyBorder="1" applyAlignment="1">
      <alignment horizontal="justify" vertical="center"/>
    </xf>
    <xf numFmtId="49" fontId="48" fillId="20" borderId="17" xfId="0" applyNumberFormat="1" applyFont="1" applyFill="1" applyBorder="1" applyAlignment="1">
      <alignment horizontal="justify" vertical="center"/>
    </xf>
    <xf numFmtId="49" fontId="48" fillId="21" borderId="17" xfId="0" applyNumberFormat="1" applyFont="1" applyFill="1" applyBorder="1" applyAlignment="1">
      <alignment horizontal="justify" vertical="center" wrapText="1"/>
    </xf>
    <xf numFmtId="0" fontId="48" fillId="20" borderId="17" xfId="0" applyFont="1" applyFill="1" applyBorder="1" applyAlignment="1">
      <alignment horizontal="justify" vertical="center" textRotation="90" wrapText="1"/>
    </xf>
    <xf numFmtId="166" fontId="48" fillId="20" borderId="17" xfId="0" applyNumberFormat="1" applyFont="1" applyFill="1" applyBorder="1" applyAlignment="1">
      <alignment horizontal="justify" vertical="center" wrapText="1"/>
    </xf>
    <xf numFmtId="0" fontId="48" fillId="24" borderId="18" xfId="0" applyFont="1" applyFill="1" applyBorder="1" applyAlignment="1">
      <alignment horizontal="justify" vertical="center" textRotation="90" wrapText="1"/>
    </xf>
    <xf numFmtId="0" fontId="47" fillId="29" borderId="12" xfId="0" applyFont="1" applyFill="1" applyBorder="1" applyAlignment="1">
      <alignment horizontal="justify" vertical="center" wrapText="1"/>
    </xf>
    <xf numFmtId="2" fontId="84" fillId="29" borderId="12" xfId="0" applyNumberFormat="1" applyFont="1" applyFill="1" applyBorder="1" applyAlignment="1">
      <alignment horizontal="justify" vertical="center" wrapText="1"/>
    </xf>
    <xf numFmtId="9" fontId="84" fillId="29" borderId="12" xfId="22" applyFont="1" applyFill="1" applyBorder="1" applyAlignment="1">
      <alignment horizontal="justify" vertical="center"/>
    </xf>
    <xf numFmtId="0" fontId="84" fillId="29" borderId="13" xfId="0" applyFont="1" applyFill="1" applyBorder="1" applyAlignment="1">
      <alignment horizontal="justify" vertical="center" wrapText="1"/>
    </xf>
    <xf numFmtId="0" fontId="84" fillId="29" borderId="12" xfId="0" applyFont="1" applyFill="1" applyBorder="1" applyAlignment="1">
      <alignment horizontal="justify" vertical="center" wrapText="1"/>
    </xf>
    <xf numFmtId="0" fontId="47" fillId="29" borderId="15" xfId="0" applyFont="1" applyFill="1" applyBorder="1" applyAlignment="1">
      <alignment horizontal="justify" vertical="center" wrapText="1"/>
    </xf>
    <xf numFmtId="0" fontId="48" fillId="29" borderId="12" xfId="0" applyFont="1" applyFill="1" applyBorder="1" applyAlignment="1">
      <alignment horizontal="justify" vertical="center"/>
    </xf>
    <xf numFmtId="166" fontId="84" fillId="29" borderId="12" xfId="0" applyNumberFormat="1" applyFont="1" applyFill="1" applyBorder="1" applyAlignment="1">
      <alignment horizontal="justify" vertical="center"/>
    </xf>
    <xf numFmtId="166" fontId="84" fillId="29" borderId="13" xfId="0" applyNumberFormat="1" applyFont="1" applyFill="1" applyBorder="1" applyAlignment="1">
      <alignment horizontal="justify" vertical="center"/>
    </xf>
    <xf numFmtId="166" fontId="47" fillId="29" borderId="12" xfId="0" applyNumberFormat="1" applyFont="1" applyFill="1" applyBorder="1" applyAlignment="1">
      <alignment horizontal="justify" vertical="center"/>
    </xf>
    <xf numFmtId="1" fontId="47" fillId="29" borderId="17" xfId="0" applyNumberFormat="1" applyFont="1" applyFill="1" applyBorder="1" applyAlignment="1">
      <alignment horizontal="justify" vertical="center"/>
    </xf>
    <xf numFmtId="0" fontId="47" fillId="29" borderId="17" xfId="0" applyFont="1" applyFill="1" applyBorder="1" applyAlignment="1">
      <alignment horizontal="justify" vertical="center"/>
    </xf>
    <xf numFmtId="166" fontId="84" fillId="29" borderId="17" xfId="0" applyNumberFormat="1" applyFont="1" applyFill="1" applyBorder="1" applyAlignment="1">
      <alignment horizontal="justify" vertical="center"/>
    </xf>
    <xf numFmtId="9" fontId="84" fillId="29" borderId="17" xfId="22" applyFont="1" applyFill="1" applyBorder="1" applyAlignment="1">
      <alignment horizontal="justify" vertical="center"/>
    </xf>
    <xf numFmtId="166" fontId="84" fillId="29" borderId="23" xfId="0" applyNumberFormat="1" applyFont="1" applyFill="1" applyBorder="1" applyAlignment="1">
      <alignment horizontal="justify" vertical="center"/>
    </xf>
    <xf numFmtId="166" fontId="47" fillId="29" borderId="17" xfId="0" applyNumberFormat="1" applyFont="1" applyFill="1" applyBorder="1" applyAlignment="1">
      <alignment horizontal="justify" vertical="center"/>
    </xf>
    <xf numFmtId="1" fontId="47" fillId="29" borderId="20" xfId="0" applyNumberFormat="1" applyFont="1" applyFill="1" applyBorder="1" applyAlignment="1">
      <alignment horizontal="justify" vertical="center"/>
    </xf>
    <xf numFmtId="49" fontId="49" fillId="24" borderId="0" xfId="0" applyNumberFormat="1" applyFont="1" applyFill="1" applyAlignment="1">
      <alignment horizontal="justify" vertical="center"/>
    </xf>
    <xf numFmtId="49" fontId="96" fillId="25" borderId="17" xfId="0" applyNumberFormat="1" applyFont="1" applyFill="1" applyBorder="1" applyAlignment="1">
      <alignment horizontal="justify" vertical="center" wrapText="1"/>
    </xf>
    <xf numFmtId="9" fontId="98" fillId="24" borderId="17" xfId="22" applyFont="1" applyFill="1" applyBorder="1" applyAlignment="1">
      <alignment horizontal="justify" vertical="center"/>
    </xf>
    <xf numFmtId="166" fontId="98" fillId="24" borderId="23" xfId="0" applyNumberFormat="1" applyFont="1" applyFill="1" applyBorder="1" applyAlignment="1">
      <alignment horizontal="justify" vertical="center"/>
    </xf>
    <xf numFmtId="166" fontId="96" fillId="24" borderId="36" xfId="0" applyNumberFormat="1" applyFont="1" applyFill="1" applyBorder="1" applyAlignment="1">
      <alignment horizontal="justify" vertical="center"/>
    </xf>
    <xf numFmtId="1" fontId="47" fillId="24" borderId="20" xfId="0" applyNumberFormat="1" applyFont="1" applyFill="1" applyBorder="1" applyAlignment="1">
      <alignment horizontal="justify" vertical="center"/>
    </xf>
    <xf numFmtId="49" fontId="96" fillId="25" borderId="12" xfId="0" applyNumberFormat="1" applyFont="1" applyFill="1" applyBorder="1" applyAlignment="1">
      <alignment horizontal="justify" vertical="center" wrapText="1"/>
    </xf>
    <xf numFmtId="1" fontId="47" fillId="24" borderId="12" xfId="0" applyNumberFormat="1" applyFont="1" applyFill="1" applyBorder="1" applyAlignment="1">
      <alignment horizontal="justify" vertical="center"/>
    </xf>
    <xf numFmtId="0" fontId="48" fillId="29" borderId="6" xfId="0" applyFont="1" applyFill="1" applyBorder="1" applyAlignment="1">
      <alignment horizontal="justify" vertical="center"/>
    </xf>
    <xf numFmtId="49" fontId="48" fillId="29" borderId="17" xfId="0" applyNumberFormat="1" applyFont="1" applyFill="1" applyBorder="1" applyAlignment="1">
      <alignment horizontal="justify" vertical="center" wrapText="1"/>
    </xf>
    <xf numFmtId="0" fontId="47" fillId="29" borderId="6" xfId="0" applyFont="1" applyFill="1" applyBorder="1" applyAlignment="1">
      <alignment horizontal="justify" vertical="center"/>
    </xf>
    <xf numFmtId="49" fontId="48" fillId="29" borderId="20" xfId="0" applyNumberFormat="1" applyFont="1" applyFill="1" applyBorder="1" applyAlignment="1">
      <alignment horizontal="justify" vertical="center" wrapText="1"/>
    </xf>
    <xf numFmtId="0" fontId="49" fillId="24" borderId="11" xfId="0" applyFont="1" applyFill="1" applyBorder="1" applyAlignment="1">
      <alignment horizontal="justify" vertical="center"/>
    </xf>
    <xf numFmtId="0" fontId="96" fillId="24" borderId="17" xfId="0" applyFont="1" applyFill="1" applyBorder="1" applyAlignment="1">
      <alignment horizontal="justify" vertical="center" textRotation="90" wrapText="1"/>
    </xf>
    <xf numFmtId="0" fontId="49" fillId="24" borderId="26" xfId="0" applyFont="1" applyFill="1" applyBorder="1" applyAlignment="1">
      <alignment horizontal="justify" vertical="center"/>
    </xf>
    <xf numFmtId="49" fontId="100" fillId="25" borderId="17" xfId="0" applyNumberFormat="1" applyFont="1" applyFill="1" applyBorder="1" applyAlignment="1">
      <alignment horizontal="justify" vertical="center" wrapText="1"/>
    </xf>
    <xf numFmtId="9" fontId="47" fillId="23" borderId="18" xfId="22" applyFont="1" applyFill="1" applyBorder="1" applyAlignment="1">
      <alignment horizontal="justify" vertical="center"/>
    </xf>
    <xf numFmtId="49" fontId="48" fillId="24" borderId="8" xfId="0" applyNumberFormat="1" applyFont="1" applyFill="1" applyBorder="1" applyAlignment="1">
      <alignment horizontal="justify" vertical="center"/>
    </xf>
    <xf numFmtId="0" fontId="48" fillId="24" borderId="11" xfId="0" applyFont="1" applyFill="1" applyBorder="1" applyAlignment="1">
      <alignment horizontal="justify" vertical="center" textRotation="90" wrapText="1"/>
    </xf>
    <xf numFmtId="166" fontId="83" fillId="0" borderId="13" xfId="0" applyNumberFormat="1" applyFont="1" applyBorder="1" applyAlignment="1">
      <alignment horizontal="justify" vertical="center"/>
    </xf>
    <xf numFmtId="0" fontId="134" fillId="24" borderId="12" xfId="0" applyFont="1" applyFill="1" applyBorder="1" applyAlignment="1">
      <alignment horizontal="justify" vertical="center"/>
    </xf>
    <xf numFmtId="0" fontId="134" fillId="24" borderId="12" xfId="0" applyFont="1" applyFill="1" applyBorder="1" applyAlignment="1">
      <alignment horizontal="justify" vertical="center" wrapText="1"/>
    </xf>
    <xf numFmtId="9" fontId="0" fillId="0" borderId="0" xfId="22" applyFont="1"/>
    <xf numFmtId="9" fontId="0" fillId="0" borderId="61" xfId="0" applyNumberFormat="1" applyBorder="1"/>
    <xf numFmtId="0" fontId="29" fillId="14" borderId="12" xfId="0" applyFont="1" applyFill="1" applyBorder="1" applyAlignment="1">
      <alignment horizontal="center" vertical="center"/>
    </xf>
    <xf numFmtId="0" fontId="29" fillId="14" borderId="12" xfId="0" applyFont="1" applyFill="1" applyBorder="1" applyAlignment="1">
      <alignment horizontal="center" vertical="center" wrapText="1"/>
    </xf>
    <xf numFmtId="10" fontId="29" fillId="14" borderId="12" xfId="22" applyNumberFormat="1" applyFont="1" applyFill="1" applyBorder="1" applyAlignment="1">
      <alignment horizontal="center" vertical="center"/>
    </xf>
    <xf numFmtId="166" fontId="33" fillId="0" borderId="12" xfId="0" applyNumberFormat="1" applyFont="1" applyBorder="1" applyAlignment="1">
      <alignment horizontal="center" vertical="center"/>
    </xf>
    <xf numFmtId="0" fontId="33" fillId="0" borderId="12" xfId="0" applyFont="1" applyBorder="1" applyAlignment="1">
      <alignment horizontal="center" vertical="center"/>
    </xf>
    <xf numFmtId="10" fontId="29" fillId="14" borderId="12" xfId="22" applyNumberFormat="1" applyFont="1" applyFill="1" applyBorder="1" applyAlignment="1">
      <alignment horizontal="center" vertical="center" wrapText="1"/>
    </xf>
    <xf numFmtId="166" fontId="33" fillId="0" borderId="12" xfId="0" applyNumberFormat="1" applyFont="1" applyBorder="1" applyAlignment="1">
      <alignment horizontal="center" vertical="center" wrapText="1"/>
    </xf>
    <xf numFmtId="49" fontId="96" fillId="24" borderId="13" xfId="0" applyNumberFormat="1" applyFont="1" applyFill="1" applyBorder="1" applyAlignment="1">
      <alignment horizontal="justify" vertical="center"/>
    </xf>
    <xf numFmtId="9" fontId="84" fillId="24" borderId="20" xfId="22" applyFont="1" applyFill="1" applyBorder="1" applyAlignment="1">
      <alignment horizontal="justify" vertical="center"/>
    </xf>
    <xf numFmtId="0" fontId="96" fillId="25" borderId="34" xfId="0" applyFont="1" applyFill="1" applyBorder="1" applyAlignment="1">
      <alignment horizontal="justify" vertical="center" wrapText="1"/>
    </xf>
    <xf numFmtId="0" fontId="96" fillId="24" borderId="16" xfId="0" applyFont="1" applyFill="1" applyBorder="1" applyAlignment="1">
      <alignment horizontal="justify" vertical="center"/>
    </xf>
    <xf numFmtId="166" fontId="100" fillId="24" borderId="20" xfId="0" applyNumberFormat="1" applyFont="1" applyFill="1" applyBorder="1" applyAlignment="1">
      <alignment horizontal="justify" vertical="center"/>
    </xf>
    <xf numFmtId="0" fontId="104" fillId="0" borderId="0" xfId="0" applyFont="1" applyAlignment="1">
      <alignment horizontal="center" vertical="center" wrapText="1"/>
    </xf>
    <xf numFmtId="0" fontId="91" fillId="0" borderId="0" xfId="0" applyFont="1" applyAlignment="1">
      <alignment horizontal="center" vertical="center" wrapText="1"/>
    </xf>
    <xf numFmtId="0" fontId="91" fillId="0" borderId="0" xfId="0" applyFont="1" applyAlignment="1">
      <alignment horizontal="center" vertical="center"/>
    </xf>
    <xf numFmtId="0" fontId="101" fillId="23" borderId="15" xfId="0" applyFont="1" applyFill="1" applyBorder="1" applyAlignment="1">
      <alignment horizontal="center" vertical="center"/>
    </xf>
    <xf numFmtId="166" fontId="101" fillId="24" borderId="12" xfId="0" applyNumberFormat="1" applyFont="1" applyFill="1" applyBorder="1" applyAlignment="1">
      <alignment horizontal="center" vertical="center"/>
    </xf>
    <xf numFmtId="166" fontId="101" fillId="24" borderId="36" xfId="0" applyNumberFormat="1" applyFont="1" applyFill="1" applyBorder="1" applyAlignment="1">
      <alignment horizontal="center" vertical="center"/>
    </xf>
    <xf numFmtId="166" fontId="84" fillId="24" borderId="36" xfId="0" applyNumberFormat="1" applyFont="1" applyFill="1" applyBorder="1" applyAlignment="1">
      <alignment horizontal="center" vertical="center"/>
    </xf>
    <xf numFmtId="166" fontId="101" fillId="24" borderId="0" xfId="0" applyNumberFormat="1" applyFont="1" applyFill="1" applyAlignment="1">
      <alignment horizontal="center" vertical="center"/>
    </xf>
    <xf numFmtId="166" fontId="84" fillId="24" borderId="0" xfId="0" applyNumberFormat="1" applyFont="1" applyFill="1" applyAlignment="1">
      <alignment horizontal="center" vertical="center"/>
    </xf>
    <xf numFmtId="166" fontId="101" fillId="0" borderId="28" xfId="0" applyNumberFormat="1" applyFont="1" applyBorder="1" applyAlignment="1">
      <alignment horizontal="center" vertical="center"/>
    </xf>
    <xf numFmtId="166" fontId="101" fillId="14" borderId="30" xfId="0" applyNumberFormat="1" applyFont="1" applyFill="1" applyBorder="1" applyAlignment="1">
      <alignment horizontal="center" vertical="center"/>
    </xf>
    <xf numFmtId="166" fontId="101" fillId="14" borderId="0" xfId="0" applyNumberFormat="1" applyFont="1" applyFill="1" applyAlignment="1">
      <alignment horizontal="center" vertical="center"/>
    </xf>
    <xf numFmtId="166" fontId="101" fillId="24" borderId="30" xfId="0" applyNumberFormat="1" applyFont="1" applyFill="1" applyBorder="1" applyAlignment="1">
      <alignment horizontal="center" vertical="center"/>
    </xf>
    <xf numFmtId="166" fontId="16" fillId="27" borderId="0" xfId="0" applyNumberFormat="1" applyFont="1" applyFill="1" applyAlignment="1">
      <alignment horizontal="center" vertical="center"/>
    </xf>
    <xf numFmtId="166" fontId="101" fillId="24" borderId="25" xfId="0" applyNumberFormat="1" applyFont="1" applyFill="1" applyBorder="1" applyAlignment="1">
      <alignment horizontal="center" vertical="center"/>
    </xf>
    <xf numFmtId="166" fontId="101" fillId="24" borderId="15" xfId="0" applyNumberFormat="1" applyFont="1" applyFill="1" applyBorder="1" applyAlignment="1">
      <alignment horizontal="center" vertical="center"/>
    </xf>
    <xf numFmtId="166" fontId="101" fillId="0" borderId="0" xfId="0" applyNumberFormat="1" applyFont="1" applyAlignment="1">
      <alignment horizontal="center" vertical="center" wrapText="1"/>
    </xf>
    <xf numFmtId="166" fontId="97" fillId="0" borderId="0" xfId="0" applyNumberFormat="1" applyFont="1" applyAlignment="1">
      <alignment horizontal="center" vertical="center"/>
    </xf>
    <xf numFmtId="166" fontId="101" fillId="0" borderId="0" xfId="0" applyNumberFormat="1" applyFont="1" applyAlignment="1">
      <alignment horizontal="center" vertical="center"/>
    </xf>
    <xf numFmtId="0" fontId="101" fillId="0" borderId="0" xfId="0" applyFont="1" applyAlignment="1">
      <alignment horizontal="center" vertical="center"/>
    </xf>
    <xf numFmtId="0" fontId="91" fillId="0" borderId="11" xfId="0" applyFont="1" applyBorder="1" applyAlignment="1">
      <alignment horizontal="justify" vertical="center"/>
    </xf>
    <xf numFmtId="0" fontId="47" fillId="0" borderId="15" xfId="0" applyFont="1" applyBorder="1" applyAlignment="1">
      <alignment horizontal="justify" vertical="center"/>
    </xf>
    <xf numFmtId="0" fontId="101" fillId="14" borderId="15" xfId="0" applyFont="1" applyFill="1" applyBorder="1" applyAlignment="1">
      <alignment horizontal="justify" vertical="center"/>
    </xf>
    <xf numFmtId="0" fontId="48" fillId="41" borderId="22" xfId="0" applyFont="1" applyFill="1" applyBorder="1" applyAlignment="1">
      <alignment horizontal="justify" vertical="center"/>
    </xf>
    <xf numFmtId="0" fontId="48" fillId="41" borderId="26" xfId="0" applyFont="1" applyFill="1" applyBorder="1" applyAlignment="1">
      <alignment horizontal="justify" vertical="center"/>
    </xf>
    <xf numFmtId="0" fontId="48" fillId="41" borderId="15" xfId="0" applyFont="1" applyFill="1" applyBorder="1" applyAlignment="1">
      <alignment horizontal="justify" vertical="center"/>
    </xf>
    <xf numFmtId="0" fontId="91" fillId="0" borderId="22" xfId="0" applyFont="1" applyBorder="1" applyAlignment="1">
      <alignment horizontal="justify" vertical="center"/>
    </xf>
    <xf numFmtId="0" fontId="91" fillId="0" borderId="26" xfId="0" applyFont="1" applyBorder="1" applyAlignment="1">
      <alignment horizontal="justify" vertical="center"/>
    </xf>
    <xf numFmtId="0" fontId="101" fillId="14" borderId="26" xfId="0" applyFont="1" applyFill="1" applyBorder="1" applyAlignment="1">
      <alignment horizontal="justify" vertical="center"/>
    </xf>
    <xf numFmtId="0" fontId="48" fillId="0" borderId="56" xfId="10" applyFont="1" applyBorder="1" applyAlignment="1">
      <alignment horizontal="left" vertical="top" wrapText="1"/>
    </xf>
    <xf numFmtId="0" fontId="48" fillId="0" borderId="57" xfId="10" applyFont="1" applyBorder="1" applyAlignment="1">
      <alignment horizontal="left" vertical="top" wrapText="1"/>
    </xf>
    <xf numFmtId="0" fontId="0" fillId="0" borderId="58" xfId="0" applyBorder="1" applyAlignment="1">
      <alignment horizontal="center" vertical="top" wrapText="1"/>
    </xf>
    <xf numFmtId="0" fontId="0" fillId="0" borderId="0" xfId="0" applyAlignment="1">
      <alignment horizontal="center" vertical="top" wrapText="1"/>
    </xf>
    <xf numFmtId="0" fontId="0" fillId="0" borderId="59" xfId="0" applyBorder="1" applyAlignment="1">
      <alignment horizontal="center" vertical="top" wrapText="1"/>
    </xf>
    <xf numFmtId="0" fontId="29" fillId="0" borderId="58" xfId="0" applyFont="1" applyBorder="1" applyAlignment="1">
      <alignment horizontal="center"/>
    </xf>
    <xf numFmtId="0" fontId="29" fillId="0" borderId="0" xfId="0" applyFont="1" applyAlignment="1">
      <alignment horizontal="center"/>
    </xf>
    <xf numFmtId="0" fontId="29" fillId="0" borderId="59" xfId="0" applyFont="1" applyBorder="1" applyAlignment="1">
      <alignment horizontal="center"/>
    </xf>
    <xf numFmtId="0" fontId="29" fillId="0" borderId="58" xfId="0" applyFont="1" applyBorder="1" applyAlignment="1">
      <alignment horizontal="center" wrapText="1"/>
    </xf>
    <xf numFmtId="0" fontId="29" fillId="0" borderId="0" xfId="0" applyFont="1" applyAlignment="1">
      <alignment horizontal="center" wrapText="1"/>
    </xf>
    <xf numFmtId="0" fontId="29" fillId="0" borderId="59" xfId="0" applyFont="1" applyBorder="1" applyAlignment="1">
      <alignment horizontal="center" wrapText="1"/>
    </xf>
    <xf numFmtId="0" fontId="29" fillId="0" borderId="58" xfId="0" applyFont="1" applyBorder="1" applyAlignment="1">
      <alignment horizontal="center" vertical="center"/>
    </xf>
    <xf numFmtId="0" fontId="29" fillId="0" borderId="0" xfId="0" applyFont="1" applyAlignment="1">
      <alignment horizontal="center" vertical="center"/>
    </xf>
    <xf numFmtId="0" fontId="29" fillId="0" borderId="59" xfId="0" applyFont="1" applyBorder="1" applyAlignment="1">
      <alignment horizontal="center" vertical="center"/>
    </xf>
    <xf numFmtId="0" fontId="77" fillId="0" borderId="0" xfId="0" applyFont="1" applyAlignment="1">
      <alignment horizontal="center"/>
    </xf>
    <xf numFmtId="0" fontId="0" fillId="0" borderId="63" xfId="0" applyBorder="1" applyAlignment="1">
      <alignment horizontal="center" vertical="center"/>
    </xf>
    <xf numFmtId="0" fontId="0" fillId="0" borderId="64" xfId="0" applyBorder="1" applyAlignment="1">
      <alignment horizontal="center" vertical="center"/>
    </xf>
    <xf numFmtId="0" fontId="0" fillId="0" borderId="63" xfId="0" applyBorder="1" applyAlignment="1">
      <alignment horizontal="left" vertical="center" wrapText="1"/>
    </xf>
    <xf numFmtId="0" fontId="0" fillId="0" borderId="64" xfId="0" applyBorder="1" applyAlignment="1">
      <alignment horizontal="left" vertical="center" wrapText="1"/>
    </xf>
    <xf numFmtId="0" fontId="0" fillId="0" borderId="52" xfId="0" applyBorder="1" applyAlignment="1">
      <alignment horizontal="left" vertical="center" wrapText="1"/>
    </xf>
    <xf numFmtId="0" fontId="35" fillId="10" borderId="63" xfId="0" applyFont="1" applyFill="1" applyBorder="1" applyAlignment="1">
      <alignment horizontal="center" vertical="center" wrapText="1"/>
    </xf>
    <xf numFmtId="0" fontId="35" fillId="10" borderId="64" xfId="0" applyFont="1" applyFill="1" applyBorder="1" applyAlignment="1">
      <alignment horizontal="center" vertical="center" wrapText="1"/>
    </xf>
    <xf numFmtId="0" fontId="0" fillId="0" borderId="63" xfId="0" applyBorder="1" applyAlignment="1">
      <alignment horizontal="left" vertical="center"/>
    </xf>
    <xf numFmtId="0" fontId="0" fillId="0" borderId="65"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wrapText="1"/>
    </xf>
    <xf numFmtId="0" fontId="35" fillId="10" borderId="63" xfId="0" applyFont="1" applyFill="1" applyBorder="1" applyAlignment="1">
      <alignment horizontal="left" vertical="center" wrapText="1"/>
    </xf>
    <xf numFmtId="0" fontId="35" fillId="10" borderId="64" xfId="0" applyFont="1" applyFill="1" applyBorder="1" applyAlignment="1">
      <alignment horizontal="left" vertical="center" wrapText="1"/>
    </xf>
    <xf numFmtId="0" fontId="0" fillId="0" borderId="77" xfId="0" applyBorder="1" applyAlignment="1">
      <alignment horizontal="left"/>
    </xf>
    <xf numFmtId="0" fontId="21" fillId="0" borderId="58" xfId="0" applyFont="1" applyBorder="1" applyAlignment="1">
      <alignment horizontal="center" vertical="center"/>
    </xf>
    <xf numFmtId="0" fontId="21" fillId="0" borderId="0" xfId="0" applyFont="1" applyAlignment="1">
      <alignment horizontal="center" vertical="center"/>
    </xf>
    <xf numFmtId="0" fontId="21" fillId="0" borderId="59" xfId="0" applyFont="1" applyBorder="1" applyAlignment="1">
      <alignment horizontal="center" vertical="center"/>
    </xf>
    <xf numFmtId="0" fontId="29" fillId="10" borderId="63" xfId="0" applyFont="1" applyFill="1" applyBorder="1" applyAlignment="1">
      <alignment horizontal="center" vertical="center" wrapText="1"/>
    </xf>
    <xf numFmtId="0" fontId="29" fillId="10" borderId="64" xfId="0" applyFont="1" applyFill="1" applyBorder="1" applyAlignment="1">
      <alignment horizontal="center" vertical="center" wrapText="1"/>
    </xf>
    <xf numFmtId="0" fontId="0" fillId="0" borderId="5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35" fillId="10" borderId="83" xfId="0" applyFont="1" applyFill="1" applyBorder="1" applyAlignment="1">
      <alignment horizontal="center" vertical="center" wrapText="1"/>
    </xf>
    <xf numFmtId="0" fontId="35" fillId="10" borderId="84" xfId="0" applyFont="1" applyFill="1" applyBorder="1" applyAlignment="1">
      <alignment horizontal="center" vertical="center" wrapText="1"/>
    </xf>
    <xf numFmtId="0" fontId="35" fillId="10" borderId="85" xfId="0" applyFont="1" applyFill="1" applyBorder="1" applyAlignment="1">
      <alignment horizontal="center" vertical="center" wrapText="1"/>
    </xf>
    <xf numFmtId="0" fontId="48" fillId="0" borderId="30" xfId="0" applyFont="1" applyBorder="1" applyAlignment="1">
      <alignment horizontal="left"/>
    </xf>
    <xf numFmtId="0" fontId="29" fillId="0" borderId="12" xfId="0" applyFont="1" applyBorder="1" applyAlignment="1">
      <alignment vertical="center" wrapText="1"/>
    </xf>
    <xf numFmtId="0" fontId="29" fillId="0" borderId="12" xfId="0" applyFont="1" applyBorder="1" applyAlignment="1">
      <alignment vertical="center"/>
    </xf>
    <xf numFmtId="0" fontId="29" fillId="0" borderId="13" xfId="0" applyFont="1" applyBorder="1" applyAlignment="1">
      <alignment vertical="center" wrapText="1"/>
    </xf>
    <xf numFmtId="0" fontId="29" fillId="0" borderId="27" xfId="0" applyFont="1" applyBorder="1" applyAlignment="1">
      <alignment vertical="center"/>
    </xf>
    <xf numFmtId="0" fontId="29" fillId="0" borderId="15" xfId="0" applyFont="1" applyBorder="1" applyAlignment="1">
      <alignment vertical="center"/>
    </xf>
    <xf numFmtId="0" fontId="29" fillId="14" borderId="13" xfId="0" applyFont="1" applyFill="1" applyBorder="1" applyAlignment="1">
      <alignment horizontal="center" vertical="center"/>
    </xf>
    <xf numFmtId="0" fontId="29" fillId="14" borderId="27" xfId="0" applyFont="1" applyFill="1" applyBorder="1" applyAlignment="1">
      <alignment horizontal="center" vertical="center"/>
    </xf>
    <xf numFmtId="0" fontId="29" fillId="14" borderId="15" xfId="0" applyFont="1" applyFill="1" applyBorder="1" applyAlignment="1">
      <alignment horizontal="center" vertical="center"/>
    </xf>
    <xf numFmtId="0" fontId="39" fillId="0" borderId="52" xfId="0" applyFont="1" applyBorder="1" applyAlignment="1">
      <alignment horizontal="left" vertical="center" wrapText="1"/>
    </xf>
    <xf numFmtId="0" fontId="65" fillId="0" borderId="52" xfId="0" applyFont="1" applyBorder="1" applyAlignment="1">
      <alignment vertical="center" wrapText="1"/>
    </xf>
    <xf numFmtId="0" fontId="68" fillId="0" borderId="52" xfId="0" applyFont="1" applyBorder="1" applyAlignment="1">
      <alignment vertical="center" wrapText="1"/>
    </xf>
    <xf numFmtId="0" fontId="68" fillId="0" borderId="52" xfId="0" applyFont="1" applyBorder="1" applyAlignment="1">
      <alignment horizontal="left" vertical="center" wrapText="1"/>
    </xf>
    <xf numFmtId="0" fontId="43" fillId="14" borderId="52" xfId="0" applyFont="1" applyFill="1" applyBorder="1" applyAlignment="1">
      <alignment horizontal="left" vertical="center" wrapText="1"/>
    </xf>
    <xf numFmtId="0" fontId="29" fillId="0" borderId="88" xfId="0" applyFont="1" applyBorder="1" applyAlignment="1">
      <alignment horizontal="center" vertical="center" wrapText="1"/>
    </xf>
    <xf numFmtId="0" fontId="29" fillId="0" borderId="89" xfId="0" applyFont="1" applyBorder="1" applyAlignment="1">
      <alignment horizontal="center" vertical="center" wrapText="1"/>
    </xf>
    <xf numFmtId="0" fontId="29" fillId="0" borderId="90" xfId="0" applyFont="1" applyBorder="1" applyAlignment="1">
      <alignment horizontal="center" vertical="center" wrapText="1"/>
    </xf>
    <xf numFmtId="0" fontId="0" fillId="0" borderId="91" xfId="0" applyBorder="1" applyAlignment="1">
      <alignment vertical="center"/>
    </xf>
    <xf numFmtId="0" fontId="0" fillId="0" borderId="52" xfId="0" applyBorder="1" applyAlignment="1">
      <alignment vertical="center"/>
    </xf>
    <xf numFmtId="0" fontId="0" fillId="0" borderId="92" xfId="0" applyBorder="1" applyAlignment="1">
      <alignment vertical="center"/>
    </xf>
    <xf numFmtId="0" fontId="67" fillId="0" borderId="52" xfId="0" applyFont="1" applyBorder="1" applyAlignment="1">
      <alignment vertical="center" wrapText="1"/>
    </xf>
    <xf numFmtId="0" fontId="39" fillId="0" borderId="83" xfId="0" applyFont="1" applyBorder="1" applyAlignment="1">
      <alignment horizontal="center" vertical="center" wrapText="1"/>
    </xf>
    <xf numFmtId="0" fontId="39" fillId="0" borderId="84" xfId="0" applyFont="1" applyBorder="1" applyAlignment="1">
      <alignment horizontal="center" vertical="center" wrapText="1"/>
    </xf>
    <xf numFmtId="0" fontId="39" fillId="0" borderId="94" xfId="0" applyFont="1" applyBorder="1" applyAlignment="1">
      <alignment horizontal="center" vertical="center" wrapText="1"/>
    </xf>
    <xf numFmtId="0" fontId="31" fillId="0" borderId="95" xfId="0" applyFont="1" applyBorder="1" applyAlignment="1">
      <alignment horizontal="center" vertical="center"/>
    </xf>
    <xf numFmtId="0" fontId="31" fillId="0" borderId="96" xfId="0" applyFont="1" applyBorder="1" applyAlignment="1">
      <alignment horizontal="center" vertical="center"/>
    </xf>
    <xf numFmtId="0" fontId="31" fillId="0" borderId="97" xfId="0" applyFont="1" applyBorder="1" applyAlignment="1">
      <alignment horizontal="center" vertical="center"/>
    </xf>
    <xf numFmtId="0" fontId="107" fillId="0" borderId="52" xfId="0" applyFont="1" applyBorder="1" applyAlignment="1">
      <alignment horizontal="left" vertical="center" wrapText="1"/>
    </xf>
    <xf numFmtId="0" fontId="38" fillId="0" borderId="52" xfId="0" applyFont="1" applyBorder="1" applyAlignment="1">
      <alignment horizontal="left" vertical="center" wrapText="1"/>
    </xf>
    <xf numFmtId="0" fontId="44" fillId="0" borderId="52" xfId="0" applyFont="1" applyBorder="1" applyAlignment="1">
      <alignment horizontal="left" vertical="center" wrapText="1"/>
    </xf>
    <xf numFmtId="0" fontId="38" fillId="11" borderId="52" xfId="0" applyFont="1" applyFill="1" applyBorder="1" applyAlignment="1">
      <alignment horizontal="left" vertical="center" wrapText="1"/>
    </xf>
    <xf numFmtId="0" fontId="39" fillId="0" borderId="0" xfId="0" applyFont="1" applyAlignment="1">
      <alignment horizontal="left" vertical="center"/>
    </xf>
    <xf numFmtId="0" fontId="84" fillId="5" borderId="52" xfId="0" applyFont="1" applyFill="1" applyBorder="1" applyAlignment="1">
      <alignment horizontal="center" vertical="center" wrapText="1"/>
    </xf>
    <xf numFmtId="0" fontId="39" fillId="0" borderId="0" xfId="0" applyFont="1" applyAlignment="1">
      <alignment horizontal="justify" vertical="center" wrapText="1"/>
    </xf>
    <xf numFmtId="0" fontId="29" fillId="0" borderId="0" xfId="0" applyFont="1" applyAlignment="1">
      <alignment horizontal="center" vertical="center" wrapText="1"/>
    </xf>
    <xf numFmtId="0" fontId="33" fillId="0" borderId="55" xfId="0" applyFont="1" applyBorder="1" applyAlignment="1">
      <alignment horizontal="center" vertical="center"/>
    </xf>
    <xf numFmtId="0" fontId="33" fillId="0" borderId="56" xfId="0" applyFont="1" applyBorder="1" applyAlignment="1">
      <alignment horizontal="center" vertical="center"/>
    </xf>
    <xf numFmtId="0" fontId="33" fillId="0" borderId="57" xfId="0" applyFont="1" applyBorder="1" applyAlignment="1">
      <alignment horizontal="center" vertical="center"/>
    </xf>
    <xf numFmtId="0" fontId="33" fillId="0" borderId="0" xfId="0" applyFont="1" applyAlignment="1">
      <alignment horizontal="left" vertical="center"/>
    </xf>
    <xf numFmtId="0" fontId="48" fillId="0" borderId="0" xfId="0" applyFont="1" applyAlignment="1">
      <alignment horizontal="left" vertical="center"/>
    </xf>
    <xf numFmtId="0" fontId="48" fillId="0" borderId="73" xfId="0" applyFont="1" applyBorder="1" applyAlignment="1">
      <alignment horizontal="center" vertical="center" textRotation="90" wrapText="1"/>
    </xf>
    <xf numFmtId="0" fontId="48" fillId="0" borderId="75" xfId="0" applyFont="1" applyBorder="1" applyAlignment="1">
      <alignment horizontal="center" vertical="center" textRotation="90" wrapText="1"/>
    </xf>
    <xf numFmtId="0" fontId="48" fillId="0" borderId="72" xfId="0" applyFont="1" applyBorder="1" applyAlignment="1">
      <alignment horizontal="center" vertical="center" textRotation="90" wrapText="1"/>
    </xf>
    <xf numFmtId="0" fontId="96" fillId="0" borderId="13" xfId="0" applyFont="1" applyBorder="1" applyAlignment="1">
      <alignment horizontal="left" vertical="center" wrapText="1"/>
    </xf>
    <xf numFmtId="0" fontId="96" fillId="0" borderId="27" xfId="0" applyFont="1" applyBorder="1" applyAlignment="1">
      <alignment horizontal="left" vertical="center" wrapText="1"/>
    </xf>
    <xf numFmtId="0" fontId="96" fillId="0" borderId="15" xfId="0" applyFont="1" applyBorder="1" applyAlignment="1">
      <alignment horizontal="left" vertical="center" wrapText="1"/>
    </xf>
    <xf numFmtId="0" fontId="48" fillId="0" borderId="17" xfId="0" applyFont="1" applyBorder="1" applyAlignment="1">
      <alignment horizontal="justify" vertical="center"/>
    </xf>
    <xf numFmtId="0" fontId="48" fillId="0" borderId="20" xfId="0" applyFont="1" applyBorder="1" applyAlignment="1">
      <alignment horizontal="justify" vertical="center"/>
    </xf>
    <xf numFmtId="0" fontId="48" fillId="0" borderId="12" xfId="0" applyFont="1" applyBorder="1" applyAlignment="1">
      <alignment horizontal="justify" vertical="center"/>
    </xf>
    <xf numFmtId="49" fontId="48" fillId="0" borderId="12" xfId="0" applyNumberFormat="1" applyFont="1" applyBorder="1" applyAlignment="1">
      <alignment horizontal="justify" vertical="center" wrapText="1"/>
    </xf>
    <xf numFmtId="49" fontId="48" fillId="0" borderId="17" xfId="0" applyNumberFormat="1" applyFont="1" applyBorder="1" applyAlignment="1">
      <alignment horizontal="justify" vertical="center" wrapText="1"/>
    </xf>
    <xf numFmtId="49" fontId="48" fillId="0" borderId="18" xfId="0" applyNumberFormat="1" applyFont="1" applyBorder="1" applyAlignment="1">
      <alignment horizontal="justify" vertical="center" wrapText="1"/>
    </xf>
    <xf numFmtId="49" fontId="48" fillId="0" borderId="20" xfId="0" applyNumberFormat="1" applyFont="1" applyBorder="1" applyAlignment="1">
      <alignment horizontal="justify" vertical="center" wrapText="1"/>
    </xf>
    <xf numFmtId="0" fontId="48" fillId="0" borderId="18" xfId="0" applyFont="1" applyBorder="1" applyAlignment="1">
      <alignment horizontal="justify" vertical="center"/>
    </xf>
    <xf numFmtId="49" fontId="96" fillId="0" borderId="17" xfId="0" applyNumberFormat="1" applyFont="1" applyBorder="1" applyAlignment="1">
      <alignment horizontal="justify" vertical="center" wrapText="1"/>
    </xf>
    <xf numFmtId="49" fontId="96" fillId="0" borderId="18" xfId="0" applyNumberFormat="1" applyFont="1" applyBorder="1" applyAlignment="1">
      <alignment horizontal="justify" vertical="center" wrapText="1"/>
    </xf>
    <xf numFmtId="166" fontId="48" fillId="0" borderId="17" xfId="0" applyNumberFormat="1" applyFont="1" applyBorder="1" applyAlignment="1">
      <alignment horizontal="justify" vertical="center" wrapText="1"/>
    </xf>
    <xf numFmtId="166" fontId="48" fillId="0" borderId="18" xfId="0" applyNumberFormat="1" applyFont="1" applyBorder="1" applyAlignment="1">
      <alignment horizontal="justify" vertical="center" wrapText="1"/>
    </xf>
    <xf numFmtId="0" fontId="85" fillId="0" borderId="13" xfId="0" applyFont="1" applyBorder="1" applyAlignment="1">
      <alignment horizontal="center" vertical="center" wrapText="1"/>
    </xf>
    <xf numFmtId="0" fontId="85" fillId="0" borderId="27" xfId="0" applyFont="1" applyBorder="1" applyAlignment="1">
      <alignment horizontal="center" vertical="center" wrapText="1"/>
    </xf>
    <xf numFmtId="0" fontId="85" fillId="0" borderId="15" xfId="0" applyFont="1" applyBorder="1" applyAlignment="1">
      <alignment horizontal="center" vertical="center" wrapText="1"/>
    </xf>
    <xf numFmtId="49" fontId="47" fillId="0" borderId="17" xfId="0" applyNumberFormat="1" applyFont="1" applyBorder="1" applyAlignment="1">
      <alignment horizontal="justify" vertical="center" wrapText="1"/>
    </xf>
    <xf numFmtId="49" fontId="47" fillId="0" borderId="18" xfId="0" applyNumberFormat="1" applyFont="1" applyBorder="1" applyAlignment="1">
      <alignment horizontal="justify" vertical="center" wrapText="1"/>
    </xf>
    <xf numFmtId="166" fontId="47" fillId="0" borderId="17" xfId="0" applyNumberFormat="1" applyFont="1" applyBorder="1" applyAlignment="1">
      <alignment horizontal="center" vertical="center" wrapText="1"/>
    </xf>
    <xf numFmtId="166" fontId="47" fillId="0" borderId="20" xfId="0" applyNumberFormat="1" applyFont="1" applyBorder="1" applyAlignment="1">
      <alignment horizontal="center" vertical="center" wrapText="1"/>
    </xf>
    <xf numFmtId="166" fontId="47" fillId="0" borderId="18" xfId="0" applyNumberFormat="1" applyFont="1" applyBorder="1" applyAlignment="1">
      <alignment horizontal="center" vertical="center" wrapText="1"/>
    </xf>
    <xf numFmtId="0" fontId="47" fillId="0" borderId="17" xfId="0" applyFont="1" applyBorder="1" applyAlignment="1">
      <alignment horizontal="center" vertical="center" wrapText="1"/>
    </xf>
    <xf numFmtId="0" fontId="47" fillId="0" borderId="18" xfId="0" applyFont="1" applyBorder="1" applyAlignment="1">
      <alignment horizontal="center" vertical="center" wrapText="1"/>
    </xf>
    <xf numFmtId="0" fontId="85" fillId="0" borderId="17" xfId="0" applyFont="1" applyBorder="1" applyAlignment="1">
      <alignment horizontal="center" vertical="center" wrapText="1"/>
    </xf>
    <xf numFmtId="0" fontId="85" fillId="0" borderId="18" xfId="0" applyFont="1" applyBorder="1" applyAlignment="1">
      <alignment horizontal="center" vertical="center" wrapText="1"/>
    </xf>
    <xf numFmtId="166" fontId="48" fillId="0" borderId="20" xfId="0" applyNumberFormat="1" applyFont="1" applyBorder="1" applyAlignment="1">
      <alignment horizontal="justify" vertical="center" wrapText="1"/>
    </xf>
    <xf numFmtId="166" fontId="47" fillId="0" borderId="24" xfId="0" applyNumberFormat="1" applyFont="1" applyBorder="1" applyAlignment="1">
      <alignment horizontal="center" vertical="center" wrapText="1"/>
    </xf>
    <xf numFmtId="49" fontId="96" fillId="0" borderId="20" xfId="0" applyNumberFormat="1" applyFont="1" applyBorder="1" applyAlignment="1">
      <alignment horizontal="justify" vertical="center" wrapText="1"/>
    </xf>
    <xf numFmtId="0" fontId="47" fillId="0" borderId="12" xfId="0" applyFont="1" applyBorder="1" applyAlignment="1">
      <alignment horizontal="justify" vertical="center" wrapText="1"/>
    </xf>
    <xf numFmtId="0" fontId="47" fillId="4" borderId="12" xfId="0" applyFont="1" applyFill="1" applyBorder="1" applyAlignment="1">
      <alignment horizontal="justify" vertical="center" wrapText="1"/>
    </xf>
    <xf numFmtId="0" fontId="48" fillId="0" borderId="12" xfId="0" applyFont="1" applyBorder="1" applyAlignment="1">
      <alignment horizontal="justify" vertical="center" wrapText="1"/>
    </xf>
    <xf numFmtId="0" fontId="96" fillId="0" borderId="13" xfId="0" applyFont="1" applyBorder="1" applyAlignment="1">
      <alignment horizontal="justify" vertical="center" wrapText="1"/>
    </xf>
    <xf numFmtId="0" fontId="96" fillId="0" borderId="27" xfId="0" applyFont="1" applyBorder="1" applyAlignment="1">
      <alignment horizontal="justify" vertical="center" wrapText="1"/>
    </xf>
    <xf numFmtId="0" fontId="96" fillId="0" borderId="15" xfId="0" applyFont="1" applyBorder="1" applyAlignment="1">
      <alignment horizontal="justify" vertical="center" wrapText="1"/>
    </xf>
    <xf numFmtId="0" fontId="48" fillId="0" borderId="78" xfId="0" applyFont="1" applyBorder="1" applyAlignment="1">
      <alignment horizontal="justify" vertical="center" textRotation="90" wrapText="1"/>
    </xf>
    <xf numFmtId="0" fontId="48" fillId="0" borderId="74" xfId="0" applyFont="1" applyBorder="1" applyAlignment="1">
      <alignment horizontal="justify" vertical="center" textRotation="90" wrapText="1"/>
    </xf>
    <xf numFmtId="0" fontId="48" fillId="0" borderId="24" xfId="0" applyFont="1" applyBorder="1" applyAlignment="1">
      <alignment horizontal="justify" vertical="center"/>
    </xf>
    <xf numFmtId="0" fontId="48" fillId="0" borderId="36" xfId="0" applyFont="1" applyBorder="1" applyAlignment="1">
      <alignment horizontal="justify" vertical="center"/>
    </xf>
    <xf numFmtId="166" fontId="47" fillId="0" borderId="12" xfId="0" applyNumberFormat="1" applyFont="1" applyBorder="1" applyAlignment="1">
      <alignment horizontal="center" vertical="center" wrapText="1"/>
    </xf>
    <xf numFmtId="0" fontId="47" fillId="0" borderId="17" xfId="0" applyFont="1" applyBorder="1" applyAlignment="1">
      <alignment horizontal="justify" vertical="center"/>
    </xf>
    <xf numFmtId="0" fontId="47" fillId="0" borderId="20" xfId="0" applyFont="1" applyBorder="1" applyAlignment="1">
      <alignment horizontal="justify" vertical="center"/>
    </xf>
    <xf numFmtId="0" fontId="48" fillId="0" borderId="17" xfId="0" applyFont="1" applyBorder="1" applyAlignment="1">
      <alignment horizontal="justify" vertical="center" wrapText="1"/>
    </xf>
    <xf numFmtId="0" fontId="48" fillId="0" borderId="20" xfId="0" applyFont="1" applyBorder="1" applyAlignment="1">
      <alignment horizontal="justify" vertical="center" wrapText="1"/>
    </xf>
    <xf numFmtId="0" fontId="48" fillId="0" borderId="73" xfId="0" applyFont="1" applyBorder="1" applyAlignment="1">
      <alignment horizontal="justify" vertical="center" textRotation="90" wrapText="1"/>
    </xf>
    <xf numFmtId="0" fontId="48" fillId="0" borderId="75" xfId="0" applyFont="1" applyBorder="1" applyAlignment="1">
      <alignment horizontal="justify" vertical="center" textRotation="90" wrapText="1"/>
    </xf>
    <xf numFmtId="49" fontId="47" fillId="4" borderId="20" xfId="0" applyNumberFormat="1" applyFont="1" applyFill="1" applyBorder="1" applyAlignment="1">
      <alignment horizontal="justify" vertical="center" wrapText="1"/>
    </xf>
    <xf numFmtId="49" fontId="47" fillId="4" borderId="18" xfId="0" applyNumberFormat="1" applyFont="1" applyFill="1" applyBorder="1" applyAlignment="1">
      <alignment horizontal="justify" vertical="center" wrapText="1"/>
    </xf>
    <xf numFmtId="0" fontId="48" fillId="0" borderId="13" xfId="0" applyFont="1" applyBorder="1" applyAlignment="1">
      <alignment horizontal="justify" vertical="center" textRotation="90" wrapText="1"/>
    </xf>
    <xf numFmtId="0" fontId="47" fillId="0" borderId="17" xfId="0" applyFont="1" applyBorder="1" applyAlignment="1">
      <alignment horizontal="justify" vertical="center" wrapText="1"/>
    </xf>
    <xf numFmtId="0" fontId="47" fillId="0" borderId="20" xfId="0" applyFont="1" applyBorder="1" applyAlignment="1">
      <alignment horizontal="justify" vertical="center" wrapText="1"/>
    </xf>
    <xf numFmtId="0" fontId="47" fillId="0" borderId="18" xfId="0" applyFont="1" applyBorder="1" applyAlignment="1">
      <alignment horizontal="justify" vertical="center" wrapText="1"/>
    </xf>
    <xf numFmtId="0" fontId="48" fillId="0" borderId="38" xfId="0" applyFont="1" applyBorder="1" applyAlignment="1">
      <alignment horizontal="justify" vertical="center" textRotation="90" wrapText="1"/>
    </xf>
    <xf numFmtId="0" fontId="48" fillId="0" borderId="80" xfId="0" applyFont="1" applyBorder="1" applyAlignment="1">
      <alignment horizontal="justify" vertical="center" textRotation="90" wrapText="1"/>
    </xf>
    <xf numFmtId="0" fontId="48" fillId="11" borderId="12" xfId="0" applyFont="1" applyFill="1" applyBorder="1" applyAlignment="1">
      <alignment horizontal="justify" vertical="center"/>
    </xf>
    <xf numFmtId="0" fontId="48" fillId="0" borderId="12" xfId="0" applyFont="1" applyBorder="1" applyAlignment="1">
      <alignment horizontal="justify" vertical="center" textRotation="90" wrapText="1"/>
    </xf>
    <xf numFmtId="0" fontId="48" fillId="0" borderId="17" xfId="0" applyFont="1" applyBorder="1" applyAlignment="1">
      <alignment horizontal="justify" vertical="center" textRotation="90" wrapText="1"/>
    </xf>
    <xf numFmtId="166" fontId="47" fillId="0" borderId="12" xfId="0" applyNumberFormat="1" applyFont="1" applyBorder="1" applyAlignment="1">
      <alignment horizontal="center" vertical="center"/>
    </xf>
    <xf numFmtId="166" fontId="48" fillId="0" borderId="12" xfId="0" applyNumberFormat="1" applyFont="1" applyBorder="1" applyAlignment="1">
      <alignment horizontal="justify" vertical="center" wrapText="1"/>
    </xf>
    <xf numFmtId="166" fontId="48" fillId="0" borderId="12" xfId="0" applyNumberFormat="1" applyFont="1" applyBorder="1" applyAlignment="1">
      <alignment horizontal="justify" vertical="center"/>
    </xf>
    <xf numFmtId="49" fontId="47" fillId="4" borderId="17" xfId="0" applyNumberFormat="1" applyFont="1" applyFill="1" applyBorder="1" applyAlignment="1">
      <alignment horizontal="justify" vertical="center" wrapText="1"/>
    </xf>
    <xf numFmtId="0" fontId="48" fillId="4" borderId="23" xfId="0" applyFont="1" applyFill="1" applyBorder="1" applyAlignment="1">
      <alignment horizontal="justify" vertical="center" textRotation="90" wrapText="1"/>
    </xf>
    <xf numFmtId="0" fontId="48" fillId="4" borderId="29" xfId="0" applyFont="1" applyFill="1" applyBorder="1" applyAlignment="1">
      <alignment horizontal="justify" vertical="center" textRotation="90" wrapText="1"/>
    </xf>
    <xf numFmtId="166" fontId="48" fillId="0" borderId="17" xfId="0" applyNumberFormat="1" applyFont="1" applyBorder="1" applyAlignment="1">
      <alignment horizontal="justify" vertical="center"/>
    </xf>
    <xf numFmtId="166" fontId="48" fillId="0" borderId="18" xfId="0" applyNumberFormat="1" applyFont="1" applyBorder="1" applyAlignment="1">
      <alignment horizontal="justify" vertical="center"/>
    </xf>
    <xf numFmtId="166" fontId="47" fillId="0" borderId="17" xfId="0" applyNumberFormat="1" applyFont="1" applyBorder="1" applyAlignment="1">
      <alignment horizontal="center" vertical="center"/>
    </xf>
    <xf numFmtId="166" fontId="47" fillId="0" borderId="18" xfId="0" applyNumberFormat="1" applyFont="1" applyBorder="1" applyAlignment="1">
      <alignment horizontal="center" vertical="center"/>
    </xf>
    <xf numFmtId="0" fontId="96" fillId="0" borderId="17" xfId="0" applyFont="1" applyBorder="1" applyAlignment="1">
      <alignment horizontal="justify" vertical="center" wrapText="1"/>
    </xf>
    <xf numFmtId="0" fontId="96" fillId="0" borderId="18" xfId="0" applyFont="1" applyBorder="1" applyAlignment="1">
      <alignment horizontal="justify" vertical="center" wrapText="1"/>
    </xf>
    <xf numFmtId="166" fontId="96" fillId="0" borderId="17" xfId="0" applyNumberFormat="1" applyFont="1" applyBorder="1" applyAlignment="1">
      <alignment horizontal="justify" vertical="center" wrapText="1"/>
    </xf>
    <xf numFmtId="166" fontId="96" fillId="0" borderId="18" xfId="0" applyNumberFormat="1" applyFont="1" applyBorder="1" applyAlignment="1">
      <alignment horizontal="justify" vertical="center"/>
    </xf>
    <xf numFmtId="0" fontId="96" fillId="0" borderId="17" xfId="0" applyFont="1" applyBorder="1" applyAlignment="1">
      <alignment horizontal="justify" vertical="center"/>
    </xf>
    <xf numFmtId="0" fontId="96" fillId="0" borderId="20" xfId="0" applyFont="1" applyBorder="1" applyAlignment="1">
      <alignment horizontal="justify" vertical="center"/>
    </xf>
    <xf numFmtId="0" fontId="96" fillId="0" borderId="18" xfId="0" applyFont="1" applyBorder="1" applyAlignment="1">
      <alignment horizontal="justify" vertical="center"/>
    </xf>
    <xf numFmtId="0" fontId="96" fillId="0" borderId="20" xfId="0" applyFont="1" applyBorder="1" applyAlignment="1">
      <alignment horizontal="justify" vertical="center" wrapText="1"/>
    </xf>
    <xf numFmtId="0" fontId="48" fillId="0" borderId="31" xfId="0" applyFont="1" applyBorder="1" applyAlignment="1">
      <alignment horizontal="justify" vertical="center" textRotation="90" wrapText="1"/>
    </xf>
    <xf numFmtId="0" fontId="48" fillId="0" borderId="20" xfId="0" applyFont="1" applyBorder="1" applyAlignment="1">
      <alignment horizontal="justify" vertical="center" textRotation="90" wrapText="1"/>
    </xf>
    <xf numFmtId="0" fontId="48" fillId="0" borderId="32" xfId="0" applyFont="1" applyBorder="1" applyAlignment="1">
      <alignment horizontal="justify" vertical="center" textRotation="90" wrapText="1"/>
    </xf>
    <xf numFmtId="166" fontId="96" fillId="0" borderId="20" xfId="0" applyNumberFormat="1" applyFont="1" applyBorder="1" applyAlignment="1">
      <alignment horizontal="justify" vertical="center" wrapText="1"/>
    </xf>
    <xf numFmtId="166" fontId="96" fillId="0" borderId="18" xfId="0" applyNumberFormat="1" applyFont="1" applyBorder="1" applyAlignment="1">
      <alignment horizontal="justify" vertical="center" wrapText="1"/>
    </xf>
    <xf numFmtId="0" fontId="84" fillId="0" borderId="17" xfId="0" applyFont="1" applyBorder="1" applyAlignment="1">
      <alignment horizontal="justify" vertical="center" wrapText="1"/>
    </xf>
    <xf numFmtId="0" fontId="84" fillId="0" borderId="20" xfId="0" applyFont="1" applyBorder="1" applyAlignment="1">
      <alignment horizontal="justify" vertical="center" wrapText="1"/>
    </xf>
    <xf numFmtId="0" fontId="48" fillId="0" borderId="23" xfId="0" applyFont="1" applyBorder="1" applyAlignment="1">
      <alignment horizontal="justify" vertical="center" textRotation="90" wrapText="1"/>
    </xf>
    <xf numFmtId="166" fontId="47" fillId="0" borderId="36" xfId="0" applyNumberFormat="1" applyFont="1" applyBorder="1" applyAlignment="1">
      <alignment horizontal="center" vertical="center" wrapText="1"/>
    </xf>
    <xf numFmtId="166" fontId="47" fillId="0" borderId="25" xfId="0" applyNumberFormat="1" applyFont="1" applyBorder="1" applyAlignment="1">
      <alignment horizontal="center" vertical="center" wrapText="1"/>
    </xf>
    <xf numFmtId="0" fontId="48" fillId="0" borderId="29" xfId="0" applyFont="1" applyBorder="1" applyAlignment="1">
      <alignment horizontal="justify" vertical="center" textRotation="90" wrapText="1"/>
    </xf>
    <xf numFmtId="0" fontId="48" fillId="0" borderId="39" xfId="0" applyFont="1" applyBorder="1" applyAlignment="1">
      <alignment horizontal="justify" vertical="center" textRotation="90" wrapText="1"/>
    </xf>
    <xf numFmtId="0" fontId="48" fillId="0" borderId="72" xfId="0" applyFont="1" applyBorder="1" applyAlignment="1">
      <alignment horizontal="justify" vertical="center" textRotation="90" wrapText="1"/>
    </xf>
    <xf numFmtId="0" fontId="47" fillId="4" borderId="17" xfId="0" applyFont="1" applyFill="1" applyBorder="1" applyAlignment="1">
      <alignment horizontal="justify" vertical="center" wrapText="1"/>
    </xf>
    <xf numFmtId="0" fontId="47" fillId="4" borderId="18" xfId="0" applyFont="1" applyFill="1" applyBorder="1" applyAlignment="1">
      <alignment horizontal="justify" vertical="center" wrapText="1"/>
    </xf>
    <xf numFmtId="0" fontId="49" fillId="24" borderId="17" xfId="0" applyFont="1" applyFill="1" applyBorder="1" applyAlignment="1">
      <alignment horizontal="justify" vertical="center"/>
    </xf>
    <xf numFmtId="0" fontId="49" fillId="24" borderId="20" xfId="0" applyFont="1" applyFill="1" applyBorder="1" applyAlignment="1">
      <alignment horizontal="justify" vertical="center"/>
    </xf>
    <xf numFmtId="0" fontId="48" fillId="18" borderId="17" xfId="0" applyFont="1" applyFill="1" applyBorder="1" applyAlignment="1">
      <alignment horizontal="justify" vertical="center"/>
    </xf>
    <xf numFmtId="0" fontId="48" fillId="18" borderId="20" xfId="0" applyFont="1" applyFill="1" applyBorder="1" applyAlignment="1">
      <alignment horizontal="justify" vertical="center"/>
    </xf>
    <xf numFmtId="0" fontId="48" fillId="18" borderId="18" xfId="0" applyFont="1" applyFill="1" applyBorder="1" applyAlignment="1">
      <alignment horizontal="justify" vertical="center"/>
    </xf>
    <xf numFmtId="0" fontId="47" fillId="18" borderId="17" xfId="0" applyFont="1" applyFill="1" applyBorder="1" applyAlignment="1">
      <alignment horizontal="justify" vertical="center" wrapText="1"/>
    </xf>
    <xf numFmtId="0" fontId="47" fillId="18" borderId="20" xfId="0" applyFont="1" applyFill="1" applyBorder="1" applyAlignment="1">
      <alignment horizontal="justify" vertical="center" wrapText="1"/>
    </xf>
    <xf numFmtId="0" fontId="47" fillId="18" borderId="18" xfId="0" applyFont="1" applyFill="1" applyBorder="1" applyAlignment="1">
      <alignment horizontal="justify" vertical="center" wrapText="1"/>
    </xf>
    <xf numFmtId="0" fontId="48" fillId="0" borderId="68" xfId="0" applyFont="1" applyBorder="1" applyAlignment="1">
      <alignment horizontal="justify" vertical="center"/>
    </xf>
    <xf numFmtId="0" fontId="48" fillId="0" borderId="67" xfId="0" applyFont="1" applyBorder="1" applyAlignment="1">
      <alignment horizontal="justify" vertical="center"/>
    </xf>
    <xf numFmtId="166" fontId="83" fillId="0" borderId="18" xfId="0" applyNumberFormat="1" applyFont="1" applyBorder="1" applyAlignment="1">
      <alignment horizontal="justify" vertical="center" wrapText="1"/>
    </xf>
    <xf numFmtId="0" fontId="48" fillId="24" borderId="17" xfId="0" applyFont="1" applyFill="1" applyBorder="1" applyAlignment="1">
      <alignment horizontal="justify" vertical="center" wrapText="1"/>
    </xf>
    <xf numFmtId="0" fontId="48" fillId="24" borderId="18" xfId="0" applyFont="1" applyFill="1" applyBorder="1" applyAlignment="1">
      <alignment horizontal="justify" vertical="center" wrapText="1"/>
    </xf>
    <xf numFmtId="0" fontId="48" fillId="24" borderId="73" xfId="0" applyFont="1" applyFill="1" applyBorder="1" applyAlignment="1">
      <alignment horizontal="justify" vertical="center" textRotation="90" wrapText="1"/>
    </xf>
    <xf numFmtId="0" fontId="48" fillId="24" borderId="72" xfId="0" applyFont="1" applyFill="1" applyBorder="1" applyAlignment="1">
      <alignment horizontal="justify" vertical="center" textRotation="90" wrapText="1"/>
    </xf>
    <xf numFmtId="0" fontId="48" fillId="0" borderId="18" xfId="0" applyFont="1" applyBorder="1" applyAlignment="1">
      <alignment horizontal="justify" vertical="center" textRotation="90" wrapText="1"/>
    </xf>
    <xf numFmtId="166" fontId="48" fillId="0" borderId="24" xfId="0" applyNumberFormat="1" applyFont="1" applyBorder="1" applyAlignment="1">
      <alignment horizontal="justify" vertical="center" wrapText="1"/>
    </xf>
    <xf numFmtId="166" fontId="48" fillId="0" borderId="25" xfId="0" applyNumberFormat="1" applyFont="1" applyBorder="1" applyAlignment="1">
      <alignment horizontal="justify" vertical="center" wrapText="1"/>
    </xf>
    <xf numFmtId="0" fontId="84" fillId="5" borderId="17" xfId="0" applyFont="1" applyFill="1" applyBorder="1" applyAlignment="1">
      <alignment horizontal="center" vertical="center" wrapText="1"/>
    </xf>
    <xf numFmtId="0" fontId="84" fillId="5" borderId="18" xfId="0" applyFont="1" applyFill="1" applyBorder="1" applyAlignment="1">
      <alignment horizontal="center" vertical="center" wrapText="1"/>
    </xf>
    <xf numFmtId="0" fontId="47" fillId="5" borderId="17" xfId="0" applyFont="1" applyFill="1" applyBorder="1" applyAlignment="1">
      <alignment horizontal="center" vertical="center" wrapText="1"/>
    </xf>
    <xf numFmtId="0" fontId="47" fillId="5" borderId="18" xfId="0" applyFont="1" applyFill="1" applyBorder="1" applyAlignment="1">
      <alignment horizontal="center" vertical="center" wrapText="1"/>
    </xf>
    <xf numFmtId="0" fontId="47" fillId="0" borderId="17" xfId="0" applyFont="1" applyBorder="1" applyAlignment="1">
      <alignment horizontal="center" vertical="center" textRotation="90" wrapText="1"/>
    </xf>
    <xf numFmtId="0" fontId="47" fillId="0" borderId="18" xfId="0" applyFont="1" applyBorder="1" applyAlignment="1">
      <alignment horizontal="center" vertical="center" textRotation="90" wrapText="1"/>
    </xf>
    <xf numFmtId="0" fontId="48" fillId="4" borderId="73" xfId="0" applyFont="1" applyFill="1" applyBorder="1" applyAlignment="1">
      <alignment horizontal="justify" vertical="center" textRotation="90" wrapText="1"/>
    </xf>
    <xf numFmtId="0" fontId="48" fillId="4" borderId="74" xfId="0" applyFont="1" applyFill="1" applyBorder="1" applyAlignment="1">
      <alignment horizontal="justify" vertical="center" textRotation="90" wrapText="1"/>
    </xf>
    <xf numFmtId="9" fontId="84" fillId="5" borderId="17" xfId="22" applyFont="1" applyFill="1" applyBorder="1" applyAlignment="1">
      <alignment horizontal="center" vertical="center" wrapText="1"/>
    </xf>
    <xf numFmtId="9" fontId="84" fillId="5" borderId="18" xfId="22" applyFont="1" applyFill="1" applyBorder="1" applyAlignment="1">
      <alignment horizontal="center" vertical="center" wrapText="1"/>
    </xf>
    <xf numFmtId="0" fontId="47" fillId="4" borderId="20" xfId="0" applyFont="1" applyFill="1" applyBorder="1" applyAlignment="1">
      <alignment horizontal="justify" vertical="center" wrapText="1"/>
    </xf>
    <xf numFmtId="0" fontId="48" fillId="4" borderId="75" xfId="0" applyFont="1" applyFill="1" applyBorder="1" applyAlignment="1">
      <alignment horizontal="justify" vertical="center" textRotation="90" wrapText="1"/>
    </xf>
    <xf numFmtId="0" fontId="48" fillId="4" borderId="72" xfId="0" applyFont="1" applyFill="1" applyBorder="1" applyAlignment="1">
      <alignment horizontal="justify" vertical="center" textRotation="90" wrapText="1"/>
    </xf>
    <xf numFmtId="0" fontId="87" fillId="0" borderId="0" xfId="0" applyFont="1" applyAlignment="1">
      <alignment horizontal="justify" vertical="center"/>
    </xf>
    <xf numFmtId="0" fontId="59" fillId="0" borderId="0" xfId="0" applyFont="1" applyAlignment="1">
      <alignment horizontal="justify" vertical="center" wrapText="1"/>
    </xf>
    <xf numFmtId="0" fontId="48" fillId="0" borderId="34" xfId="0" applyFont="1" applyBorder="1" applyAlignment="1">
      <alignment horizontal="justify" vertical="center"/>
    </xf>
    <xf numFmtId="0" fontId="96" fillId="25" borderId="7" xfId="0" applyFont="1" applyFill="1" applyBorder="1" applyAlignment="1">
      <alignment horizontal="justify" vertical="center" wrapText="1"/>
    </xf>
    <xf numFmtId="0" fontId="96" fillId="25" borderId="16" xfId="0" applyFont="1" applyFill="1" applyBorder="1" applyAlignment="1">
      <alignment horizontal="justify" vertical="center" wrapText="1"/>
    </xf>
    <xf numFmtId="0" fontId="96" fillId="25" borderId="7" xfId="0" applyFont="1" applyFill="1" applyBorder="1" applyAlignment="1">
      <alignment horizontal="justify" vertical="center" textRotation="90" wrapText="1"/>
    </xf>
    <xf numFmtId="0" fontId="96" fillId="25" borderId="16" xfId="0" applyFont="1" applyFill="1" applyBorder="1" applyAlignment="1">
      <alignment horizontal="justify" vertical="center" textRotation="90" wrapText="1"/>
    </xf>
    <xf numFmtId="49" fontId="47" fillId="0" borderId="12" xfId="0" applyNumberFormat="1" applyFont="1" applyBorder="1" applyAlignment="1">
      <alignment horizontal="justify" vertical="center" wrapText="1"/>
    </xf>
    <xf numFmtId="49" fontId="48" fillId="0" borderId="12" xfId="0" applyNumberFormat="1" applyFont="1" applyBorder="1" applyAlignment="1">
      <alignment horizontal="justify" vertical="center" textRotation="90"/>
    </xf>
    <xf numFmtId="0" fontId="48" fillId="0" borderId="30" xfId="0" applyFont="1" applyBorder="1" applyAlignment="1">
      <alignment horizontal="justify" vertical="center" wrapText="1"/>
    </xf>
    <xf numFmtId="0" fontId="33" fillId="0" borderId="0" xfId="0" applyFont="1" applyAlignment="1">
      <alignment horizontal="justify" vertical="center" wrapText="1"/>
    </xf>
    <xf numFmtId="0" fontId="33" fillId="0" borderId="0" xfId="0" applyFont="1" applyAlignment="1">
      <alignment horizontal="justify" vertical="center"/>
    </xf>
    <xf numFmtId="0" fontId="60" fillId="0" borderId="0" xfId="0" applyFont="1" applyAlignment="1">
      <alignment horizontal="justify" vertical="center" wrapText="1"/>
    </xf>
    <xf numFmtId="0" fontId="60" fillId="0" borderId="0" xfId="0" applyFont="1" applyAlignment="1">
      <alignment horizontal="justify" vertical="center"/>
    </xf>
    <xf numFmtId="0" fontId="49" fillId="24" borderId="18" xfId="0" applyFont="1" applyFill="1" applyBorder="1" applyAlignment="1">
      <alignment horizontal="justify" vertical="center"/>
    </xf>
    <xf numFmtId="0" fontId="33" fillId="0" borderId="0" xfId="0" applyFont="1" applyAlignment="1">
      <alignment horizontal="center" vertical="center"/>
    </xf>
    <xf numFmtId="0" fontId="33" fillId="0" borderId="0" xfId="0" applyFont="1" applyAlignment="1">
      <alignment horizontal="left" vertical="center" wrapText="1"/>
    </xf>
    <xf numFmtId="49" fontId="48" fillId="0" borderId="12" xfId="0" applyNumberFormat="1" applyFont="1" applyBorder="1" applyAlignment="1">
      <alignment horizontal="left" vertical="center" wrapText="1"/>
    </xf>
    <xf numFmtId="0" fontId="47" fillId="0" borderId="12" xfId="0" applyFont="1" applyBorder="1" applyAlignment="1">
      <alignment horizontal="center" vertical="center"/>
    </xf>
    <xf numFmtId="49" fontId="48" fillId="0" borderId="17" xfId="0" applyNumberFormat="1" applyFont="1" applyBorder="1" applyAlignment="1">
      <alignment horizontal="left" vertical="center" wrapText="1"/>
    </xf>
    <xf numFmtId="49" fontId="48" fillId="0" borderId="20" xfId="0" applyNumberFormat="1" applyFont="1" applyBorder="1" applyAlignment="1">
      <alignment horizontal="left" vertical="center" wrapText="1"/>
    </xf>
    <xf numFmtId="49" fontId="48" fillId="0" borderId="18" xfId="0" applyNumberFormat="1" applyFont="1" applyBorder="1" applyAlignment="1">
      <alignment horizontal="left" vertical="center" wrapText="1"/>
    </xf>
    <xf numFmtId="0" fontId="32" fillId="0" borderId="30" xfId="0" applyFont="1" applyBorder="1" applyAlignment="1">
      <alignment horizontal="left" vertical="center" wrapText="1"/>
    </xf>
    <xf numFmtId="0" fontId="47" fillId="0" borderId="23" xfId="0" applyFont="1" applyBorder="1" applyAlignment="1">
      <alignment horizontal="center" vertical="center" wrapText="1"/>
    </xf>
    <xf numFmtId="0" fontId="47" fillId="0" borderId="29" xfId="0" applyFont="1" applyBorder="1" applyAlignment="1">
      <alignment horizontal="center" vertical="center" wrapText="1"/>
    </xf>
    <xf numFmtId="0" fontId="47" fillId="0" borderId="24" xfId="0" applyFont="1" applyBorder="1" applyAlignment="1">
      <alignment horizontal="center" vertical="center" wrapText="1"/>
    </xf>
    <xf numFmtId="0" fontId="47" fillId="0" borderId="25" xfId="0" applyFont="1" applyBorder="1" applyAlignment="1">
      <alignment horizontal="center" vertical="center" wrapText="1"/>
    </xf>
    <xf numFmtId="0" fontId="47" fillId="0" borderId="24" xfId="0" applyFont="1" applyBorder="1" applyAlignment="1">
      <alignment horizontal="center" vertical="center"/>
    </xf>
    <xf numFmtId="0" fontId="47" fillId="0" borderId="36" xfId="0" applyFont="1" applyBorder="1" applyAlignment="1">
      <alignment horizontal="center" vertical="center"/>
    </xf>
    <xf numFmtId="0" fontId="47" fillId="0" borderId="25" xfId="0" applyFont="1" applyBorder="1" applyAlignment="1">
      <alignment horizontal="center" vertical="center"/>
    </xf>
    <xf numFmtId="0" fontId="47" fillId="0" borderId="12" xfId="0" applyFont="1" applyBorder="1" applyAlignment="1">
      <alignment horizontal="left" vertical="center" wrapText="1"/>
    </xf>
    <xf numFmtId="0" fontId="47" fillId="0" borderId="12" xfId="0" applyFont="1" applyBorder="1" applyAlignment="1">
      <alignment horizontal="center" vertical="center" wrapText="1"/>
    </xf>
    <xf numFmtId="0" fontId="47" fillId="0" borderId="17" xfId="0" applyFont="1" applyBorder="1" applyAlignment="1">
      <alignment horizontal="center" vertical="center"/>
    </xf>
    <xf numFmtId="0" fontId="47" fillId="0" borderId="20" xfId="0" applyFont="1" applyBorder="1" applyAlignment="1">
      <alignment horizontal="center" vertical="center"/>
    </xf>
    <xf numFmtId="0" fontId="47" fillId="0" borderId="18" xfId="0" applyFont="1" applyBorder="1" applyAlignment="1">
      <alignment horizontal="center" vertical="center"/>
    </xf>
    <xf numFmtId="166" fontId="47" fillId="14" borderId="17" xfId="0" applyNumberFormat="1" applyFont="1" applyFill="1" applyBorder="1" applyAlignment="1">
      <alignment horizontal="left" vertical="center"/>
    </xf>
    <xf numFmtId="166" fontId="47" fillId="14" borderId="20" xfId="0" applyNumberFormat="1" applyFont="1" applyFill="1" applyBorder="1" applyAlignment="1">
      <alignment horizontal="left" vertical="center"/>
    </xf>
    <xf numFmtId="0" fontId="96" fillId="24" borderId="7" xfId="0" applyFont="1" applyFill="1" applyBorder="1" applyAlignment="1">
      <alignment horizontal="justify" vertical="center" wrapText="1"/>
    </xf>
    <xf numFmtId="0" fontId="96" fillId="24" borderId="16" xfId="0" applyFont="1" applyFill="1" applyBorder="1" applyAlignment="1">
      <alignment horizontal="justify" vertical="center" wrapText="1"/>
    </xf>
    <xf numFmtId="0" fontId="96" fillId="24" borderId="9" xfId="0" applyFont="1" applyFill="1" applyBorder="1" applyAlignment="1">
      <alignment horizontal="justify" vertical="center" wrapText="1"/>
    </xf>
    <xf numFmtId="166" fontId="84" fillId="14" borderId="17" xfId="0" applyNumberFormat="1" applyFont="1" applyFill="1" applyBorder="1" applyAlignment="1">
      <alignment horizontal="left" vertical="center"/>
    </xf>
    <xf numFmtId="166" fontId="84" fillId="14" borderId="20" xfId="0" applyNumberFormat="1" applyFont="1" applyFill="1" applyBorder="1" applyAlignment="1">
      <alignment horizontal="left" vertical="center"/>
    </xf>
    <xf numFmtId="166" fontId="84" fillId="14" borderId="18" xfId="0" applyNumberFormat="1" applyFont="1" applyFill="1" applyBorder="1" applyAlignment="1">
      <alignment horizontal="left" vertical="center"/>
    </xf>
    <xf numFmtId="166" fontId="47" fillId="14" borderId="18" xfId="0" applyNumberFormat="1" applyFont="1" applyFill="1" applyBorder="1" applyAlignment="1">
      <alignment horizontal="left" vertical="center"/>
    </xf>
    <xf numFmtId="166" fontId="83" fillId="0" borderId="12" xfId="0" applyNumberFormat="1" applyFont="1" applyBorder="1" applyAlignment="1">
      <alignment horizontal="justify" vertical="center" wrapText="1"/>
    </xf>
    <xf numFmtId="166" fontId="83" fillId="0" borderId="12" xfId="0" applyNumberFormat="1" applyFont="1" applyBorder="1" applyAlignment="1">
      <alignment horizontal="justify" vertical="center"/>
    </xf>
    <xf numFmtId="49" fontId="83" fillId="0" borderId="17" xfId="0" applyNumberFormat="1" applyFont="1" applyBorder="1" applyAlignment="1">
      <alignment horizontal="center" vertical="center" wrapText="1"/>
    </xf>
    <xf numFmtId="49" fontId="83" fillId="0" borderId="18" xfId="0" applyNumberFormat="1" applyFont="1" applyBorder="1" applyAlignment="1">
      <alignment horizontal="center" vertical="center" wrapText="1"/>
    </xf>
    <xf numFmtId="49" fontId="48" fillId="0" borderId="12" xfId="0" applyNumberFormat="1" applyFont="1" applyBorder="1" applyAlignment="1">
      <alignment horizontal="center" vertical="center" wrapText="1"/>
    </xf>
    <xf numFmtId="49" fontId="48" fillId="0" borderId="17" xfId="0" applyNumberFormat="1" applyFont="1" applyBorder="1" applyAlignment="1">
      <alignment horizontal="center" vertical="center" wrapText="1"/>
    </xf>
    <xf numFmtId="49" fontId="48" fillId="0" borderId="18" xfId="0" applyNumberFormat="1" applyFont="1" applyBorder="1" applyAlignment="1">
      <alignment horizontal="center" vertical="center" wrapText="1"/>
    </xf>
    <xf numFmtId="49" fontId="48" fillId="24" borderId="23" xfId="0" applyNumberFormat="1" applyFont="1" applyFill="1" applyBorder="1" applyAlignment="1">
      <alignment horizontal="center" vertical="center" wrapText="1"/>
    </xf>
    <xf numFmtId="49" fontId="48" fillId="24" borderId="28" xfId="0" applyNumberFormat="1" applyFont="1" applyFill="1" applyBorder="1" applyAlignment="1">
      <alignment horizontal="center" vertical="center" wrapText="1"/>
    </xf>
    <xf numFmtId="49" fontId="48" fillId="24" borderId="24" xfId="0" applyNumberFormat="1" applyFont="1" applyFill="1" applyBorder="1" applyAlignment="1">
      <alignment horizontal="center" vertical="center" wrapText="1"/>
    </xf>
    <xf numFmtId="49" fontId="48" fillId="24" borderId="38" xfId="0" applyNumberFormat="1" applyFont="1" applyFill="1" applyBorder="1" applyAlignment="1">
      <alignment horizontal="center" vertical="center" wrapText="1"/>
    </xf>
    <xf numFmtId="49" fontId="48" fillId="24" borderId="0" xfId="0" applyNumberFormat="1" applyFont="1" applyFill="1" applyAlignment="1">
      <alignment horizontal="center" vertical="center" wrapText="1"/>
    </xf>
    <xf numFmtId="49" fontId="48" fillId="24" borderId="36" xfId="0" applyNumberFormat="1" applyFont="1" applyFill="1" applyBorder="1" applyAlignment="1">
      <alignment horizontal="center" vertical="center" wrapText="1"/>
    </xf>
    <xf numFmtId="49" fontId="48" fillId="24" borderId="29" xfId="0" applyNumberFormat="1" applyFont="1" applyFill="1" applyBorder="1" applyAlignment="1">
      <alignment horizontal="center" vertical="center" wrapText="1"/>
    </xf>
    <xf numFmtId="49" fontId="48" fillId="24" borderId="30" xfId="0" applyNumberFormat="1" applyFont="1" applyFill="1" applyBorder="1" applyAlignment="1">
      <alignment horizontal="center" vertical="center" wrapText="1"/>
    </xf>
    <xf numFmtId="49" fontId="48" fillId="24" borderId="25" xfId="0" applyNumberFormat="1" applyFont="1" applyFill="1" applyBorder="1" applyAlignment="1">
      <alignment horizontal="center" vertical="center" wrapText="1"/>
    </xf>
    <xf numFmtId="49" fontId="48" fillId="24" borderId="17" xfId="0" applyNumberFormat="1" applyFont="1" applyFill="1" applyBorder="1" applyAlignment="1">
      <alignment horizontal="center" vertical="center" wrapText="1"/>
    </xf>
    <xf numFmtId="49" fontId="48" fillId="24" borderId="20" xfId="0" applyNumberFormat="1" applyFont="1" applyFill="1" applyBorder="1" applyAlignment="1">
      <alignment horizontal="center" vertical="center" wrapText="1"/>
    </xf>
    <xf numFmtId="49" fontId="48" fillId="24" borderId="18" xfId="0" applyNumberFormat="1" applyFont="1" applyFill="1" applyBorder="1" applyAlignment="1">
      <alignment horizontal="center" vertical="center" wrapText="1"/>
    </xf>
    <xf numFmtId="0" fontId="47" fillId="24" borderId="23" xfId="0" applyFont="1" applyFill="1" applyBorder="1" applyAlignment="1">
      <alignment horizontal="center" vertical="center"/>
    </xf>
    <xf numFmtId="0" fontId="47" fillId="24" borderId="24" xfId="0" applyFont="1" applyFill="1" applyBorder="1" applyAlignment="1">
      <alignment horizontal="center" vertical="center"/>
    </xf>
    <xf numFmtId="0" fontId="47" fillId="24" borderId="38" xfId="0" applyFont="1" applyFill="1" applyBorder="1" applyAlignment="1">
      <alignment horizontal="center" vertical="center"/>
    </xf>
    <xf numFmtId="0" fontId="47" fillId="24" borderId="36" xfId="0" applyFont="1" applyFill="1" applyBorder="1" applyAlignment="1">
      <alignment horizontal="center" vertical="center"/>
    </xf>
    <xf numFmtId="0" fontId="47" fillId="24" borderId="29" xfId="0" applyFont="1" applyFill="1" applyBorder="1" applyAlignment="1">
      <alignment horizontal="center" vertical="center"/>
    </xf>
    <xf numFmtId="0" fontId="47" fillId="24" borderId="25" xfId="0" applyFont="1" applyFill="1" applyBorder="1" applyAlignment="1">
      <alignment horizontal="center" vertical="center"/>
    </xf>
    <xf numFmtId="0" fontId="48" fillId="24" borderId="12" xfId="0" applyFont="1" applyFill="1" applyBorder="1" applyAlignment="1">
      <alignment horizontal="left" vertical="center"/>
    </xf>
    <xf numFmtId="166" fontId="48" fillId="24" borderId="12" xfId="0" applyNumberFormat="1" applyFont="1" applyFill="1" applyBorder="1" applyAlignment="1">
      <alignment horizontal="left" vertical="center" wrapText="1"/>
    </xf>
    <xf numFmtId="166" fontId="48" fillId="24" borderId="12" xfId="0" applyNumberFormat="1" applyFont="1" applyFill="1" applyBorder="1" applyAlignment="1">
      <alignment horizontal="left" vertical="center"/>
    </xf>
    <xf numFmtId="49" fontId="47" fillId="24" borderId="12" xfId="0" applyNumberFormat="1" applyFont="1" applyFill="1" applyBorder="1" applyAlignment="1">
      <alignment horizontal="left" vertical="center" wrapText="1"/>
    </xf>
    <xf numFmtId="166" fontId="48" fillId="0" borderId="18" xfId="0" applyNumberFormat="1" applyFont="1" applyBorder="1" applyAlignment="1">
      <alignment horizontal="left" vertical="center" wrapText="1"/>
    </xf>
    <xf numFmtId="166" fontId="48" fillId="0" borderId="12" xfId="0" applyNumberFormat="1" applyFont="1" applyBorder="1" applyAlignment="1">
      <alignment horizontal="left" vertical="center"/>
    </xf>
    <xf numFmtId="49" fontId="48" fillId="0" borderId="20" xfId="0" applyNumberFormat="1" applyFont="1" applyBorder="1" applyAlignment="1">
      <alignment horizontal="center" vertical="center" wrapText="1"/>
    </xf>
    <xf numFmtId="49" fontId="84" fillId="24" borderId="12" xfId="0" applyNumberFormat="1" applyFont="1" applyFill="1" applyBorder="1" applyAlignment="1">
      <alignment horizontal="left" vertical="center" wrapText="1"/>
    </xf>
    <xf numFmtId="0" fontId="48" fillId="24" borderId="18" xfId="0" applyFont="1" applyFill="1" applyBorder="1" applyAlignment="1">
      <alignment horizontal="left" vertical="center"/>
    </xf>
    <xf numFmtId="0" fontId="85" fillId="0" borderId="12" xfId="0" applyFont="1" applyBorder="1" applyAlignment="1">
      <alignment horizontal="center" vertical="center" wrapText="1"/>
    </xf>
    <xf numFmtId="49" fontId="96" fillId="24" borderId="12" xfId="0" applyNumberFormat="1" applyFont="1" applyFill="1" applyBorder="1" applyAlignment="1">
      <alignment horizontal="left" vertical="center" textRotation="90" wrapText="1"/>
    </xf>
    <xf numFmtId="0" fontId="96" fillId="24" borderId="68" xfId="0" applyFont="1" applyFill="1" applyBorder="1" applyAlignment="1">
      <alignment horizontal="justify" vertical="center" wrapText="1"/>
    </xf>
    <xf numFmtId="0" fontId="96" fillId="24" borderId="69" xfId="0" applyFont="1" applyFill="1" applyBorder="1" applyAlignment="1">
      <alignment horizontal="justify" vertical="center" wrapText="1"/>
    </xf>
    <xf numFmtId="0" fontId="96" fillId="24" borderId="67" xfId="0" applyFont="1" applyFill="1" applyBorder="1" applyAlignment="1">
      <alignment horizontal="justify" vertical="center" wrapText="1"/>
    </xf>
    <xf numFmtId="0" fontId="48" fillId="24" borderId="23" xfId="0" applyFont="1" applyFill="1" applyBorder="1" applyAlignment="1">
      <alignment horizontal="center" vertical="center"/>
    </xf>
    <xf numFmtId="0" fontId="48" fillId="24" borderId="24" xfId="0" applyFont="1" applyFill="1" applyBorder="1" applyAlignment="1">
      <alignment horizontal="center" vertical="center"/>
    </xf>
    <xf numFmtId="0" fontId="48" fillId="24" borderId="38" xfId="0" applyFont="1" applyFill="1" applyBorder="1" applyAlignment="1">
      <alignment horizontal="center" vertical="center"/>
    </xf>
    <xf numFmtId="0" fontId="48" fillId="24" borderId="36" xfId="0" applyFont="1" applyFill="1" applyBorder="1" applyAlignment="1">
      <alignment horizontal="center" vertical="center"/>
    </xf>
    <xf numFmtId="0" fontId="48" fillId="24" borderId="29" xfId="0" applyFont="1" applyFill="1" applyBorder="1" applyAlignment="1">
      <alignment horizontal="center" vertical="center"/>
    </xf>
    <xf numFmtId="0" fontId="48" fillId="24" borderId="25" xfId="0" applyFont="1" applyFill="1" applyBorder="1" applyAlignment="1">
      <alignment horizontal="center" vertical="center"/>
    </xf>
    <xf numFmtId="0" fontId="48" fillId="0" borderId="28" xfId="0" applyFont="1" applyBorder="1" applyAlignment="1">
      <alignment horizontal="left" vertical="center" textRotation="90" wrapText="1"/>
    </xf>
    <xf numFmtId="0" fontId="48" fillId="0" borderId="22" xfId="0" applyFont="1" applyBorder="1" applyAlignment="1">
      <alignment horizontal="left" vertical="center" textRotation="90" wrapText="1"/>
    </xf>
    <xf numFmtId="0" fontId="96" fillId="24" borderId="66" xfId="0" applyFont="1" applyFill="1" applyBorder="1" applyAlignment="1">
      <alignment horizontal="justify" vertical="center" wrapText="1"/>
    </xf>
    <xf numFmtId="0" fontId="96" fillId="24" borderId="76" xfId="0" applyFont="1" applyFill="1" applyBorder="1" applyAlignment="1">
      <alignment horizontal="justify" vertical="center" wrapText="1"/>
    </xf>
    <xf numFmtId="49" fontId="96" fillId="24" borderId="17" xfId="0" applyNumberFormat="1" applyFont="1" applyFill="1" applyBorder="1" applyAlignment="1">
      <alignment horizontal="left" vertical="center" textRotation="90" wrapText="1"/>
    </xf>
    <xf numFmtId="49" fontId="96" fillId="24" borderId="20" xfId="0" applyNumberFormat="1" applyFont="1" applyFill="1" applyBorder="1" applyAlignment="1">
      <alignment horizontal="left" vertical="center" textRotation="90" wrapText="1"/>
    </xf>
    <xf numFmtId="0" fontId="48" fillId="4" borderId="17" xfId="0" applyFont="1" applyFill="1" applyBorder="1" applyAlignment="1">
      <alignment horizontal="left" vertical="center" textRotation="90" wrapText="1"/>
    </xf>
    <xf numFmtId="0" fontId="48" fillId="4" borderId="20" xfId="0" applyFont="1" applyFill="1" applyBorder="1" applyAlignment="1">
      <alignment horizontal="left" vertical="center" textRotation="90" wrapText="1"/>
    </xf>
    <xf numFmtId="0" fontId="48" fillId="4" borderId="18" xfId="0" applyFont="1" applyFill="1" applyBorder="1" applyAlignment="1">
      <alignment horizontal="left" vertical="center" textRotation="90" wrapText="1"/>
    </xf>
    <xf numFmtId="0" fontId="96" fillId="24" borderId="7" xfId="0" applyFont="1" applyFill="1" applyBorder="1" applyAlignment="1">
      <alignment horizontal="left" vertical="center"/>
    </xf>
    <xf numFmtId="0" fontId="96" fillId="24" borderId="16" xfId="0" applyFont="1" applyFill="1" applyBorder="1" applyAlignment="1">
      <alignment horizontal="left" vertical="center"/>
    </xf>
    <xf numFmtId="0" fontId="96" fillId="24" borderId="9" xfId="0" applyFont="1" applyFill="1" applyBorder="1" applyAlignment="1">
      <alignment horizontal="left" vertical="center"/>
    </xf>
    <xf numFmtId="0" fontId="49" fillId="24" borderId="12" xfId="0" applyFont="1" applyFill="1" applyBorder="1" applyAlignment="1">
      <alignment horizontal="left" vertical="center" textRotation="90" wrapText="1"/>
    </xf>
    <xf numFmtId="49" fontId="48" fillId="0" borderId="7" xfId="0" applyNumberFormat="1" applyFont="1" applyBorder="1" applyAlignment="1">
      <alignment horizontal="left" vertical="center"/>
    </xf>
    <xf numFmtId="49" fontId="48" fillId="0" borderId="16" xfId="0" applyNumberFormat="1" applyFont="1" applyBorder="1" applyAlignment="1">
      <alignment horizontal="left" vertical="center"/>
    </xf>
    <xf numFmtId="49" fontId="48" fillId="0" borderId="9" xfId="0" applyNumberFormat="1" applyFont="1" applyBorder="1" applyAlignment="1">
      <alignment horizontal="left" vertical="center"/>
    </xf>
    <xf numFmtId="0" fontId="96" fillId="24" borderId="12" xfId="0" applyFont="1" applyFill="1" applyBorder="1" applyAlignment="1">
      <alignment horizontal="justify" vertical="center" wrapText="1"/>
    </xf>
    <xf numFmtId="0" fontId="48" fillId="0" borderId="12" xfId="0" applyFont="1" applyBorder="1" applyAlignment="1">
      <alignment horizontal="left" vertical="center" wrapText="1"/>
    </xf>
    <xf numFmtId="49" fontId="48" fillId="0" borderId="6" xfId="0" applyNumberFormat="1" applyFont="1" applyBorder="1" applyAlignment="1">
      <alignment horizontal="left" vertical="center"/>
    </xf>
    <xf numFmtId="49" fontId="88" fillId="0" borderId="6" xfId="0" applyNumberFormat="1" applyFont="1" applyBorder="1" applyAlignment="1">
      <alignment horizontal="left" vertical="center"/>
    </xf>
    <xf numFmtId="49" fontId="88" fillId="0" borderId="7" xfId="0" applyNumberFormat="1" applyFont="1" applyBorder="1" applyAlignment="1">
      <alignment horizontal="left" vertical="center"/>
    </xf>
    <xf numFmtId="0" fontId="48" fillId="0" borderId="6" xfId="0" applyFont="1" applyBorder="1" applyAlignment="1">
      <alignment horizontal="left" vertical="center" textRotation="90" wrapText="1"/>
    </xf>
    <xf numFmtId="0" fontId="88" fillId="0" borderId="6" xfId="0" applyFont="1" applyBorder="1" applyAlignment="1">
      <alignment horizontal="left" vertical="center" textRotation="90" wrapText="1"/>
    </xf>
    <xf numFmtId="0" fontId="88" fillId="0" borderId="7" xfId="0" applyFont="1" applyBorder="1" applyAlignment="1">
      <alignment horizontal="left" vertical="center" textRotation="90" wrapText="1"/>
    </xf>
    <xf numFmtId="0" fontId="48" fillId="0" borderId="14" xfId="0" applyFont="1" applyBorder="1" applyAlignment="1">
      <alignment horizontal="left" vertical="center" textRotation="90" wrapText="1"/>
    </xf>
    <xf numFmtId="0" fontId="48" fillId="0" borderId="8" xfId="0" applyFont="1" applyBorder="1" applyAlignment="1">
      <alignment horizontal="left" vertical="center" textRotation="90" wrapText="1"/>
    </xf>
    <xf numFmtId="0" fontId="47" fillId="0" borderId="18" xfId="0" applyFont="1" applyBorder="1" applyAlignment="1">
      <alignment horizontal="left" vertical="center" wrapText="1"/>
    </xf>
    <xf numFmtId="0" fontId="47" fillId="0" borderId="9" xfId="0" applyFont="1" applyBorder="1" applyAlignment="1">
      <alignment horizontal="justify" vertical="center" wrapText="1"/>
    </xf>
    <xf numFmtId="0" fontId="47" fillId="0" borderId="6" xfId="0" applyFont="1" applyBorder="1" applyAlignment="1">
      <alignment horizontal="justify" vertical="center" wrapText="1"/>
    </xf>
    <xf numFmtId="49" fontId="48" fillId="0" borderId="12" xfId="0" applyNumberFormat="1" applyFont="1" applyBorder="1" applyAlignment="1">
      <alignment horizontal="left" vertical="center"/>
    </xf>
    <xf numFmtId="0" fontId="48" fillId="0" borderId="12" xfId="0" applyFont="1" applyBorder="1" applyAlignment="1">
      <alignment horizontal="left" vertical="center" textRotation="90" wrapText="1"/>
    </xf>
    <xf numFmtId="49" fontId="48" fillId="0" borderId="8" xfId="0" applyNumberFormat="1" applyFont="1" applyBorder="1" applyAlignment="1">
      <alignment horizontal="left" vertical="center"/>
    </xf>
    <xf numFmtId="49" fontId="48" fillId="0" borderId="21" xfId="0" applyNumberFormat="1" applyFont="1" applyBorder="1" applyAlignment="1">
      <alignment horizontal="left" vertical="center"/>
    </xf>
    <xf numFmtId="0" fontId="47" fillId="0" borderId="7" xfId="0" applyFont="1" applyBorder="1" applyAlignment="1">
      <alignment horizontal="justify" vertical="center" wrapText="1"/>
    </xf>
    <xf numFmtId="0" fontId="96" fillId="24" borderId="13" xfId="0" applyFont="1" applyFill="1" applyBorder="1" applyAlignment="1">
      <alignment horizontal="left" vertical="center" wrapText="1"/>
    </xf>
    <xf numFmtId="0" fontId="96" fillId="24" borderId="27" xfId="0" applyFont="1" applyFill="1" applyBorder="1" applyAlignment="1">
      <alignment horizontal="left" vertical="center" wrapText="1"/>
    </xf>
    <xf numFmtId="0" fontId="96" fillId="24" borderId="15" xfId="0" applyFont="1" applyFill="1" applyBorder="1" applyAlignment="1">
      <alignment horizontal="left" vertical="center" wrapText="1"/>
    </xf>
    <xf numFmtId="49" fontId="96" fillId="24" borderId="16" xfId="0" applyNumberFormat="1" applyFont="1" applyFill="1" applyBorder="1" applyAlignment="1">
      <alignment horizontal="left" vertical="center"/>
    </xf>
    <xf numFmtId="0" fontId="92" fillId="0" borderId="6" xfId="0" applyFont="1" applyBorder="1" applyAlignment="1">
      <alignment horizontal="justify" vertical="center" wrapText="1"/>
    </xf>
    <xf numFmtId="49" fontId="48" fillId="24" borderId="16" xfId="0" applyNumberFormat="1" applyFont="1" applyFill="1" applyBorder="1" applyAlignment="1">
      <alignment horizontal="center" vertical="center"/>
    </xf>
    <xf numFmtId="49" fontId="48" fillId="24" borderId="9" xfId="0" applyNumberFormat="1" applyFont="1" applyFill="1" applyBorder="1" applyAlignment="1">
      <alignment horizontal="center" vertical="center"/>
    </xf>
    <xf numFmtId="0" fontId="48" fillId="24" borderId="69" xfId="0" applyFont="1" applyFill="1" applyBorder="1" applyAlignment="1">
      <alignment horizontal="center" vertical="center" textRotation="90" wrapText="1"/>
    </xf>
    <xf numFmtId="0" fontId="48" fillId="24" borderId="67" xfId="0" applyFont="1" applyFill="1" applyBorder="1" applyAlignment="1">
      <alignment horizontal="center" vertical="center" textRotation="90" wrapText="1"/>
    </xf>
    <xf numFmtId="49" fontId="48" fillId="24" borderId="7" xfId="0" applyNumberFormat="1" applyFont="1" applyFill="1" applyBorder="1" applyAlignment="1">
      <alignment horizontal="center" vertical="center"/>
    </xf>
    <xf numFmtId="0" fontId="48" fillId="24" borderId="68" xfId="0" applyFont="1" applyFill="1" applyBorder="1" applyAlignment="1">
      <alignment horizontal="center" vertical="center" textRotation="90" wrapText="1"/>
    </xf>
    <xf numFmtId="0" fontId="100" fillId="24" borderId="17" xfId="0" applyFont="1" applyFill="1" applyBorder="1" applyAlignment="1">
      <alignment horizontal="center" vertical="center" textRotation="90" wrapText="1"/>
    </xf>
    <xf numFmtId="0" fontId="100" fillId="24" borderId="20" xfId="0" applyFont="1" applyFill="1" applyBorder="1" applyAlignment="1">
      <alignment horizontal="center" vertical="center" textRotation="90" wrapText="1"/>
    </xf>
    <xf numFmtId="0" fontId="100" fillId="24" borderId="18" xfId="0" applyFont="1" applyFill="1" applyBorder="1" applyAlignment="1">
      <alignment horizontal="center" vertical="center" textRotation="90" wrapText="1"/>
    </xf>
    <xf numFmtId="0" fontId="96" fillId="24" borderId="17" xfId="0" applyFont="1" applyFill="1" applyBorder="1" applyAlignment="1">
      <alignment horizontal="center" vertical="center" textRotation="90" wrapText="1"/>
    </xf>
    <xf numFmtId="0" fontId="96" fillId="24" borderId="20" xfId="0" applyFont="1" applyFill="1" applyBorder="1" applyAlignment="1">
      <alignment horizontal="center" vertical="center" textRotation="90" wrapText="1"/>
    </xf>
    <xf numFmtId="0" fontId="96" fillId="24" borderId="18" xfId="0" applyFont="1" applyFill="1" applyBorder="1" applyAlignment="1">
      <alignment horizontal="center" vertical="center" textRotation="90" wrapText="1"/>
    </xf>
    <xf numFmtId="49" fontId="96" fillId="24" borderId="17" xfId="0" applyNumberFormat="1" applyFont="1" applyFill="1" applyBorder="1" applyAlignment="1">
      <alignment horizontal="left" vertical="center"/>
    </xf>
    <xf numFmtId="49" fontId="96" fillId="24" borderId="20" xfId="0" applyNumberFormat="1" applyFont="1" applyFill="1" applyBorder="1" applyAlignment="1">
      <alignment horizontal="left" vertical="center"/>
    </xf>
    <xf numFmtId="49" fontId="96" fillId="24" borderId="18" xfId="0" applyNumberFormat="1" applyFont="1" applyFill="1" applyBorder="1" applyAlignment="1">
      <alignment horizontal="left" vertical="center"/>
    </xf>
    <xf numFmtId="0" fontId="96" fillId="24" borderId="17" xfId="0" applyFont="1" applyFill="1" applyBorder="1" applyAlignment="1">
      <alignment horizontal="justify" vertical="center" wrapText="1"/>
    </xf>
    <xf numFmtId="0" fontId="96" fillId="24" borderId="20" xfId="0" applyFont="1" applyFill="1" applyBorder="1" applyAlignment="1">
      <alignment horizontal="justify" vertical="center" wrapText="1"/>
    </xf>
    <xf numFmtId="0" fontId="96" fillId="24" borderId="18" xfId="0" applyFont="1" applyFill="1" applyBorder="1" applyAlignment="1">
      <alignment horizontal="justify" vertical="center" wrapText="1"/>
    </xf>
    <xf numFmtId="49" fontId="96" fillId="24" borderId="17" xfId="0" applyNumberFormat="1" applyFont="1" applyFill="1" applyBorder="1" applyAlignment="1">
      <alignment horizontal="left" vertical="center" wrapText="1"/>
    </xf>
    <xf numFmtId="49" fontId="96" fillId="24" borderId="20" xfId="0" applyNumberFormat="1" applyFont="1" applyFill="1" applyBorder="1" applyAlignment="1">
      <alignment horizontal="left" vertical="center" wrapText="1"/>
    </xf>
    <xf numFmtId="49" fontId="96" fillId="24" borderId="18" xfId="0" applyNumberFormat="1" applyFont="1" applyFill="1" applyBorder="1" applyAlignment="1">
      <alignment horizontal="left" vertical="center" wrapText="1"/>
    </xf>
    <xf numFmtId="0" fontId="100" fillId="24" borderId="17" xfId="0" applyFont="1" applyFill="1" applyBorder="1" applyAlignment="1">
      <alignment horizontal="left" vertical="center" textRotation="90" wrapText="1"/>
    </xf>
    <xf numFmtId="0" fontId="100" fillId="24" borderId="20" xfId="0" applyFont="1" applyFill="1" applyBorder="1" applyAlignment="1">
      <alignment horizontal="left" vertical="center" textRotation="90" wrapText="1"/>
    </xf>
    <xf numFmtId="0" fontId="47" fillId="4" borderId="12" xfId="0" applyFont="1" applyFill="1" applyBorder="1" applyAlignment="1">
      <alignment horizontal="left" vertical="center" wrapText="1"/>
    </xf>
    <xf numFmtId="0" fontId="47" fillId="0" borderId="20" xfId="0" applyFont="1" applyBorder="1" applyAlignment="1">
      <alignment horizontal="center" vertical="center" wrapText="1"/>
    </xf>
    <xf numFmtId="0" fontId="47" fillId="0" borderId="52" xfId="0" applyFont="1" applyBorder="1" applyAlignment="1">
      <alignment horizontal="justify" vertical="center" wrapText="1"/>
    </xf>
    <xf numFmtId="166" fontId="94" fillId="0" borderId="12" xfId="0" applyNumberFormat="1" applyFont="1" applyBorder="1" applyAlignment="1">
      <alignment horizontal="justify" vertical="center" wrapText="1"/>
    </xf>
    <xf numFmtId="166" fontId="94" fillId="0" borderId="12" xfId="0" applyNumberFormat="1" applyFont="1" applyBorder="1" applyAlignment="1">
      <alignment horizontal="justify" vertical="center"/>
    </xf>
    <xf numFmtId="0" fontId="48" fillId="0" borderId="52" xfId="0" applyFont="1" applyBorder="1" applyAlignment="1">
      <alignment horizontal="left" vertical="center" textRotation="90" wrapText="1"/>
    </xf>
    <xf numFmtId="166" fontId="47" fillId="24" borderId="12" xfId="0" applyNumberFormat="1" applyFont="1" applyFill="1" applyBorder="1" applyAlignment="1">
      <alignment horizontal="left" vertical="center"/>
    </xf>
    <xf numFmtId="49" fontId="48" fillId="0" borderId="52" xfId="0" applyNumberFormat="1" applyFont="1" applyBorder="1" applyAlignment="1">
      <alignment horizontal="left" vertical="center"/>
    </xf>
    <xf numFmtId="49" fontId="47" fillId="0" borderId="20" xfId="0" applyNumberFormat="1" applyFont="1" applyBorder="1" applyAlignment="1">
      <alignment horizontal="justify" vertical="center" wrapText="1"/>
    </xf>
    <xf numFmtId="49" fontId="48" fillId="0" borderId="6" xfId="0" applyNumberFormat="1" applyFont="1" applyBorder="1" applyAlignment="1">
      <alignment horizontal="left" vertical="center" wrapText="1"/>
    </xf>
    <xf numFmtId="166" fontId="47" fillId="14" borderId="12" xfId="0" applyNumberFormat="1" applyFont="1" applyFill="1" applyBorder="1" applyAlignment="1">
      <alignment horizontal="left" vertical="center"/>
    </xf>
    <xf numFmtId="49" fontId="48" fillId="0" borderId="20" xfId="0" applyNumberFormat="1" applyFont="1" applyBorder="1" applyAlignment="1">
      <alignment horizontal="left" vertical="center" textRotation="90" wrapText="1"/>
    </xf>
    <xf numFmtId="49" fontId="48" fillId="0" borderId="18" xfId="0" applyNumberFormat="1" applyFont="1" applyBorder="1" applyAlignment="1">
      <alignment horizontal="left" vertical="center" textRotation="90" wrapText="1"/>
    </xf>
    <xf numFmtId="0" fontId="62" fillId="0" borderId="0" xfId="0" applyFont="1" applyAlignment="1">
      <alignment horizontal="left" vertical="center"/>
    </xf>
    <xf numFmtId="0" fontId="96" fillId="24" borderId="12" xfId="0" applyFont="1" applyFill="1" applyBorder="1" applyAlignment="1">
      <alignment horizontal="left" vertical="center" textRotation="90" wrapText="1"/>
    </xf>
    <xf numFmtId="0" fontId="48" fillId="11" borderId="12" xfId="0" applyFont="1" applyFill="1" applyBorder="1" applyAlignment="1">
      <alignment horizontal="left" vertical="center"/>
    </xf>
    <xf numFmtId="0" fontId="84" fillId="16" borderId="17" xfId="0" applyFont="1" applyFill="1" applyBorder="1" applyAlignment="1">
      <alignment horizontal="center" vertical="center" wrapText="1"/>
    </xf>
    <xf numFmtId="0" fontId="84" fillId="16" borderId="18" xfId="0" applyFont="1" applyFill="1" applyBorder="1" applyAlignment="1">
      <alignment horizontal="center" vertical="center" wrapText="1"/>
    </xf>
    <xf numFmtId="0" fontId="48" fillId="0" borderId="21" xfId="0" applyFont="1" applyBorder="1" applyAlignment="1">
      <alignment horizontal="left" vertical="center" textRotation="90" wrapText="1"/>
    </xf>
    <xf numFmtId="49" fontId="83" fillId="0" borderId="17" xfId="0" applyNumberFormat="1" applyFont="1" applyBorder="1" applyAlignment="1">
      <alignment horizontal="left" vertical="center" wrapText="1"/>
    </xf>
    <xf numFmtId="49" fontId="83" fillId="0" borderId="18" xfId="0" applyNumberFormat="1" applyFont="1" applyBorder="1" applyAlignment="1">
      <alignment horizontal="left" vertical="center" wrapText="1"/>
    </xf>
    <xf numFmtId="0" fontId="47" fillId="15" borderId="66" xfId="0" applyFont="1" applyFill="1" applyBorder="1" applyAlignment="1">
      <alignment horizontal="left" vertical="center" wrapText="1"/>
    </xf>
    <xf numFmtId="0" fontId="47" fillId="15" borderId="69" xfId="0" applyFont="1" applyFill="1" applyBorder="1" applyAlignment="1">
      <alignment horizontal="left" vertical="center" wrapText="1"/>
    </xf>
    <xf numFmtId="9" fontId="47" fillId="14" borderId="17" xfId="22" applyFont="1" applyFill="1" applyBorder="1" applyAlignment="1">
      <alignment horizontal="left" vertical="center" wrapText="1"/>
    </xf>
    <xf numFmtId="9" fontId="47" fillId="14" borderId="20" xfId="22" applyFont="1" applyFill="1" applyBorder="1" applyAlignment="1">
      <alignment horizontal="left" vertical="center" wrapText="1"/>
    </xf>
    <xf numFmtId="49" fontId="83" fillId="0" borderId="12" xfId="0" applyNumberFormat="1" applyFont="1" applyBorder="1" applyAlignment="1">
      <alignment horizontal="left" vertical="center" wrapText="1"/>
    </xf>
    <xf numFmtId="9" fontId="47" fillId="14" borderId="17" xfId="22" applyFont="1" applyFill="1" applyBorder="1" applyAlignment="1">
      <alignment horizontal="left" vertical="center"/>
    </xf>
    <xf numFmtId="9" fontId="47" fillId="14" borderId="20" xfId="22" applyFont="1" applyFill="1" applyBorder="1" applyAlignment="1">
      <alignment horizontal="left" vertical="center"/>
    </xf>
    <xf numFmtId="0" fontId="47" fillId="4" borderId="17" xfId="0" applyFont="1" applyFill="1" applyBorder="1" applyAlignment="1">
      <alignment horizontal="center" vertical="center" wrapText="1"/>
    </xf>
    <xf numFmtId="0" fontId="47" fillId="4" borderId="18" xfId="0" applyFont="1" applyFill="1" applyBorder="1" applyAlignment="1">
      <alignment horizontal="center" vertical="center" wrapText="1"/>
    </xf>
    <xf numFmtId="0" fontId="96" fillId="24" borderId="23" xfId="0" applyFont="1" applyFill="1" applyBorder="1" applyAlignment="1">
      <alignment horizontal="center" vertical="center" wrapText="1"/>
    </xf>
    <xf numFmtId="0" fontId="96" fillId="24" borderId="24" xfId="0" applyFont="1" applyFill="1" applyBorder="1" applyAlignment="1">
      <alignment horizontal="center" vertical="center" wrapText="1"/>
    </xf>
    <xf numFmtId="0" fontId="96" fillId="24" borderId="38" xfId="0" applyFont="1" applyFill="1" applyBorder="1" applyAlignment="1">
      <alignment horizontal="center" vertical="center" wrapText="1"/>
    </xf>
    <xf numFmtId="0" fontId="96" fillId="24" borderId="36" xfId="0" applyFont="1" applyFill="1" applyBorder="1" applyAlignment="1">
      <alignment horizontal="center" vertical="center" wrapText="1"/>
    </xf>
    <xf numFmtId="0" fontId="96" fillId="24" borderId="29" xfId="0" applyFont="1" applyFill="1" applyBorder="1" applyAlignment="1">
      <alignment horizontal="center" vertical="center" wrapText="1"/>
    </xf>
    <xf numFmtId="0" fontId="96" fillId="24" borderId="25" xfId="0" applyFont="1" applyFill="1" applyBorder="1" applyAlignment="1">
      <alignment horizontal="center" vertical="center" wrapText="1"/>
    </xf>
    <xf numFmtId="0" fontId="48" fillId="24" borderId="12" xfId="0" applyFont="1" applyFill="1" applyBorder="1" applyAlignment="1">
      <alignment horizontal="center" vertical="center"/>
    </xf>
    <xf numFmtId="0" fontId="48" fillId="24" borderId="17" xfId="0" applyFont="1" applyFill="1" applyBorder="1" applyAlignment="1">
      <alignment horizontal="center" vertical="center"/>
    </xf>
    <xf numFmtId="0" fontId="48" fillId="24" borderId="18" xfId="0" applyFont="1" applyFill="1" applyBorder="1" applyAlignment="1">
      <alignment horizontal="center" vertical="center"/>
    </xf>
    <xf numFmtId="0" fontId="77" fillId="24" borderId="7" xfId="23" applyFont="1" applyFill="1" applyBorder="1" applyAlignment="1">
      <alignment horizontal="justify" vertical="center" wrapText="1"/>
    </xf>
    <xf numFmtId="0" fontId="77" fillId="24" borderId="16" xfId="23" applyFont="1" applyFill="1" applyBorder="1" applyAlignment="1">
      <alignment horizontal="justify" vertical="center" wrapText="1"/>
    </xf>
    <xf numFmtId="0" fontId="77" fillId="24" borderId="9" xfId="23" applyFont="1" applyFill="1" applyBorder="1" applyAlignment="1">
      <alignment horizontal="justify" vertical="center" wrapText="1"/>
    </xf>
    <xf numFmtId="0" fontId="96" fillId="25" borderId="17" xfId="0" applyFont="1" applyFill="1" applyBorder="1" applyAlignment="1">
      <alignment horizontal="center" vertical="center" wrapText="1"/>
    </xf>
    <xf numFmtId="0" fontId="96" fillId="25" borderId="20" xfId="0" applyFont="1" applyFill="1" applyBorder="1" applyAlignment="1">
      <alignment horizontal="center" vertical="center" wrapText="1"/>
    </xf>
    <xf numFmtId="0" fontId="96" fillId="25" borderId="18" xfId="0" applyFont="1" applyFill="1" applyBorder="1" applyAlignment="1">
      <alignment horizontal="center" vertical="center" wrapText="1"/>
    </xf>
    <xf numFmtId="0" fontId="77" fillId="24" borderId="71" xfId="23" applyFont="1" applyFill="1" applyBorder="1" applyAlignment="1">
      <alignment horizontal="justify" vertical="center" wrapText="1"/>
    </xf>
    <xf numFmtId="0" fontId="48" fillId="24" borderId="76" xfId="0" applyFont="1" applyFill="1" applyBorder="1" applyAlignment="1">
      <alignment horizontal="center" vertical="center" textRotation="90" wrapText="1"/>
    </xf>
    <xf numFmtId="9" fontId="47" fillId="14" borderId="18" xfId="22" applyFont="1" applyFill="1" applyBorder="1" applyAlignment="1">
      <alignment horizontal="left" vertical="center"/>
    </xf>
    <xf numFmtId="0" fontId="47" fillId="15" borderId="76" xfId="0" applyFont="1" applyFill="1" applyBorder="1" applyAlignment="1">
      <alignment horizontal="left" vertical="center" wrapText="1"/>
    </xf>
    <xf numFmtId="49" fontId="94" fillId="0" borderId="6" xfId="0" applyNumberFormat="1" applyFont="1" applyBorder="1" applyAlignment="1">
      <alignment horizontal="left" vertical="center"/>
    </xf>
    <xf numFmtId="49" fontId="48" fillId="0" borderId="7" xfId="0" applyNumberFormat="1" applyFont="1" applyBorder="1" applyAlignment="1">
      <alignment horizontal="center" vertical="center"/>
    </xf>
    <xf numFmtId="49" fontId="48" fillId="0" borderId="16" xfId="0" applyNumberFormat="1" applyFont="1" applyBorder="1" applyAlignment="1">
      <alignment horizontal="center" vertical="center"/>
    </xf>
    <xf numFmtId="49" fontId="48" fillId="0" borderId="9" xfId="0" applyNumberFormat="1" applyFont="1" applyBorder="1" applyAlignment="1">
      <alignment horizontal="center" vertical="center"/>
    </xf>
    <xf numFmtId="0" fontId="47" fillId="0" borderId="16" xfId="0" applyFont="1" applyBorder="1" applyAlignment="1">
      <alignment horizontal="justify" vertical="center" wrapText="1"/>
    </xf>
    <xf numFmtId="0" fontId="48" fillId="0" borderId="68" xfId="0" applyFont="1" applyBorder="1" applyAlignment="1">
      <alignment horizontal="center" vertical="center" textRotation="90" wrapText="1"/>
    </xf>
    <xf numFmtId="0" fontId="48" fillId="0" borderId="69" xfId="0" applyFont="1" applyBorder="1" applyAlignment="1">
      <alignment horizontal="center" vertical="center" textRotation="90" wrapText="1"/>
    </xf>
    <xf numFmtId="0" fontId="48" fillId="0" borderId="67" xfId="0" applyFont="1" applyBorder="1" applyAlignment="1">
      <alignment horizontal="center" vertical="center" textRotation="90" wrapText="1"/>
    </xf>
    <xf numFmtId="0" fontId="48" fillId="0" borderId="7" xfId="0" applyFont="1" applyBorder="1" applyAlignment="1">
      <alignment horizontal="left" vertical="center" textRotation="90" wrapText="1"/>
    </xf>
    <xf numFmtId="49" fontId="96" fillId="24" borderId="7" xfId="0" applyNumberFormat="1" applyFont="1" applyFill="1" applyBorder="1" applyAlignment="1">
      <alignment horizontal="center" vertical="center"/>
    </xf>
    <xf numFmtId="49" fontId="96" fillId="24" borderId="16" xfId="0" applyNumberFormat="1" applyFont="1" applyFill="1" applyBorder="1" applyAlignment="1">
      <alignment horizontal="center" vertical="center"/>
    </xf>
    <xf numFmtId="49" fontId="96" fillId="24" borderId="9" xfId="0" applyNumberFormat="1" applyFont="1" applyFill="1" applyBorder="1" applyAlignment="1">
      <alignment horizontal="center" vertical="center"/>
    </xf>
    <xf numFmtId="0" fontId="96" fillId="24" borderId="68" xfId="0" applyFont="1" applyFill="1" applyBorder="1" applyAlignment="1">
      <alignment horizontal="center" vertical="center" textRotation="90" wrapText="1"/>
    </xf>
    <xf numFmtId="0" fontId="96" fillId="24" borderId="69" xfId="0" applyFont="1" applyFill="1" applyBorder="1" applyAlignment="1">
      <alignment horizontal="center" vertical="center" textRotation="90" wrapText="1"/>
    </xf>
    <xf numFmtId="0" fontId="96" fillId="24" borderId="67" xfId="0" applyFont="1" applyFill="1" applyBorder="1" applyAlignment="1">
      <alignment horizontal="center" vertical="center" textRotation="90" wrapText="1"/>
    </xf>
    <xf numFmtId="0" fontId="47" fillId="24" borderId="23" xfId="0" applyFont="1" applyFill="1" applyBorder="1" applyAlignment="1">
      <alignment horizontal="justify" vertical="center"/>
    </xf>
    <xf numFmtId="0" fontId="47" fillId="24" borderId="24" xfId="0" applyFont="1" applyFill="1" applyBorder="1" applyAlignment="1">
      <alignment horizontal="justify" vertical="center"/>
    </xf>
    <xf numFmtId="0" fontId="47" fillId="24" borderId="38" xfId="0" applyFont="1" applyFill="1" applyBorder="1" applyAlignment="1">
      <alignment horizontal="justify" vertical="center"/>
    </xf>
    <xf numFmtId="0" fontId="47" fillId="24" borderId="36" xfId="0" applyFont="1" applyFill="1" applyBorder="1" applyAlignment="1">
      <alignment horizontal="justify" vertical="center"/>
    </xf>
    <xf numFmtId="0" fontId="47" fillId="24" borderId="29" xfId="0" applyFont="1" applyFill="1" applyBorder="1" applyAlignment="1">
      <alignment horizontal="justify" vertical="center"/>
    </xf>
    <xf numFmtId="0" fontId="47" fillId="24" borderId="25" xfId="0" applyFont="1" applyFill="1" applyBorder="1" applyAlignment="1">
      <alignment horizontal="justify" vertical="center"/>
    </xf>
    <xf numFmtId="0" fontId="79" fillId="0" borderId="0" xfId="0" applyFont="1" applyAlignment="1">
      <alignment horizontal="center" wrapText="1"/>
    </xf>
    <xf numFmtId="0" fontId="85" fillId="0" borderId="12" xfId="0" applyFont="1" applyBorder="1" applyAlignment="1">
      <alignment horizontal="left" vertical="center" wrapText="1"/>
    </xf>
    <xf numFmtId="0" fontId="91" fillId="0" borderId="17" xfId="0" applyFont="1" applyBorder="1" applyAlignment="1">
      <alignment horizontal="left" vertical="center" wrapText="1"/>
    </xf>
    <xf numFmtId="0" fontId="0" fillId="0" borderId="20" xfId="0" applyBorder="1" applyAlignment="1">
      <alignment horizontal="left" vertical="center" wrapText="1"/>
    </xf>
    <xf numFmtId="0" fontId="0" fillId="0" borderId="18" xfId="0" applyBorder="1" applyAlignment="1">
      <alignment horizontal="left" vertical="center" wrapText="1"/>
    </xf>
    <xf numFmtId="0" fontId="48" fillId="0" borderId="17" xfId="0" applyFont="1" applyBorder="1" applyAlignment="1">
      <alignment horizontal="left" vertical="center" wrapText="1"/>
    </xf>
    <xf numFmtId="0" fontId="48" fillId="0" borderId="18" xfId="0" applyFont="1" applyBorder="1" applyAlignment="1">
      <alignment horizontal="left" vertical="center" wrapText="1"/>
    </xf>
    <xf numFmtId="0" fontId="48" fillId="28" borderId="17" xfId="0" applyFont="1" applyFill="1" applyBorder="1" applyAlignment="1">
      <alignment horizontal="left" vertical="center" wrapText="1"/>
    </xf>
    <xf numFmtId="0" fontId="48" fillId="28" borderId="18" xfId="0" applyFont="1" applyFill="1" applyBorder="1" applyAlignment="1">
      <alignment horizontal="left" vertical="center" wrapText="1"/>
    </xf>
    <xf numFmtId="0" fontId="90" fillId="0" borderId="12" xfId="0" applyFont="1" applyBorder="1" applyAlignment="1">
      <alignment horizontal="left" vertical="center" wrapText="1"/>
    </xf>
    <xf numFmtId="0" fontId="48" fillId="28" borderId="12" xfId="0" applyFont="1" applyFill="1" applyBorder="1" applyAlignment="1">
      <alignment horizontal="left" vertical="center" wrapText="1"/>
    </xf>
    <xf numFmtId="0" fontId="1" fillId="0" borderId="20" xfId="0" applyFont="1" applyBorder="1" applyAlignment="1">
      <alignment horizontal="left" vertical="center" wrapText="1"/>
    </xf>
    <xf numFmtId="0" fontId="1" fillId="0" borderId="18" xfId="0" applyFont="1" applyBorder="1" applyAlignment="1">
      <alignment horizontal="left" vertical="center" wrapText="1"/>
    </xf>
    <xf numFmtId="0" fontId="48" fillId="0" borderId="0" xfId="0" applyFont="1" applyAlignment="1">
      <alignment horizontal="left" vertical="center" wrapText="1"/>
    </xf>
    <xf numFmtId="49" fontId="48" fillId="0" borderId="0" xfId="0" applyNumberFormat="1" applyFont="1" applyAlignment="1">
      <alignment horizontal="left" vertical="center" wrapText="1"/>
    </xf>
    <xf numFmtId="166" fontId="47" fillId="0" borderId="17" xfId="0" applyNumberFormat="1" applyFont="1" applyBorder="1" applyAlignment="1">
      <alignment horizontal="justify" vertical="center"/>
    </xf>
    <xf numFmtId="166" fontId="47" fillId="0" borderId="20" xfId="0" applyNumberFormat="1" applyFont="1" applyBorder="1" applyAlignment="1">
      <alignment horizontal="justify" vertical="center"/>
    </xf>
    <xf numFmtId="166" fontId="47" fillId="0" borderId="18" xfId="0" applyNumberFormat="1" applyFont="1" applyBorder="1" applyAlignment="1">
      <alignment horizontal="justify" vertical="center"/>
    </xf>
    <xf numFmtId="49" fontId="83" fillId="0" borderId="17" xfId="0" applyNumberFormat="1" applyFont="1" applyBorder="1" applyAlignment="1">
      <alignment horizontal="justify" vertical="center" wrapText="1"/>
    </xf>
    <xf numFmtId="49" fontId="83" fillId="0" borderId="18" xfId="0" applyNumberFormat="1" applyFont="1" applyBorder="1" applyAlignment="1">
      <alignment horizontal="justify" vertical="center" wrapText="1"/>
    </xf>
    <xf numFmtId="166" fontId="48" fillId="24" borderId="17" xfId="0" applyNumberFormat="1" applyFont="1" applyFill="1" applyBorder="1" applyAlignment="1">
      <alignment horizontal="justify" vertical="center" wrapText="1"/>
    </xf>
    <xf numFmtId="166" fontId="48" fillId="24" borderId="20" xfId="0" applyNumberFormat="1" applyFont="1" applyFill="1" applyBorder="1" applyAlignment="1">
      <alignment horizontal="justify" vertical="center" wrapText="1"/>
    </xf>
    <xf numFmtId="166" fontId="48" fillId="24" borderId="18" xfId="0" applyNumberFormat="1" applyFont="1" applyFill="1" applyBorder="1" applyAlignment="1">
      <alignment horizontal="justify" vertical="center" wrapText="1"/>
    </xf>
    <xf numFmtId="0" fontId="96" fillId="25" borderId="11" xfId="0" applyFont="1" applyFill="1" applyBorder="1" applyAlignment="1">
      <alignment horizontal="justify" vertical="center" wrapText="1"/>
    </xf>
    <xf numFmtId="0" fontId="96" fillId="25" borderId="26" xfId="0" applyFont="1" applyFill="1" applyBorder="1" applyAlignment="1">
      <alignment horizontal="justify" vertical="center" wrapText="1"/>
    </xf>
    <xf numFmtId="0" fontId="49" fillId="25" borderId="26" xfId="0" applyFont="1" applyFill="1" applyBorder="1" applyAlignment="1">
      <alignment horizontal="justify" vertical="center" wrapText="1"/>
    </xf>
    <xf numFmtId="166" fontId="48" fillId="24" borderId="12" xfId="0" applyNumberFormat="1" applyFont="1" applyFill="1" applyBorder="1" applyAlignment="1">
      <alignment horizontal="justify" vertical="center" wrapText="1"/>
    </xf>
    <xf numFmtId="0" fontId="48" fillId="4" borderId="12" xfId="0" applyFont="1" applyFill="1" applyBorder="1" applyAlignment="1">
      <alignment horizontal="justify" vertical="center" textRotation="90" wrapText="1"/>
    </xf>
    <xf numFmtId="49" fontId="48" fillId="24" borderId="38" xfId="0" applyNumberFormat="1" applyFont="1" applyFill="1" applyBorder="1" applyAlignment="1">
      <alignment horizontal="justify" vertical="center" wrapText="1"/>
    </xf>
    <xf numFmtId="49" fontId="48" fillId="24" borderId="0" xfId="0" applyNumberFormat="1" applyFont="1" applyFill="1" applyAlignment="1">
      <alignment horizontal="justify" vertical="center" wrapText="1"/>
    </xf>
    <xf numFmtId="49" fontId="48" fillId="24" borderId="36" xfId="0" applyNumberFormat="1" applyFont="1" applyFill="1" applyBorder="1" applyAlignment="1">
      <alignment horizontal="justify" vertical="center" wrapText="1"/>
    </xf>
    <xf numFmtId="49" fontId="48" fillId="24" borderId="29" xfId="0" applyNumberFormat="1" applyFont="1" applyFill="1" applyBorder="1" applyAlignment="1">
      <alignment horizontal="justify" vertical="center" wrapText="1"/>
    </xf>
    <xf numFmtId="49" fontId="48" fillId="24" borderId="30" xfId="0" applyNumberFormat="1" applyFont="1" applyFill="1" applyBorder="1" applyAlignment="1">
      <alignment horizontal="justify" vertical="center" wrapText="1"/>
    </xf>
    <xf numFmtId="49" fontId="48" fillId="24" borderId="25" xfId="0" applyNumberFormat="1" applyFont="1" applyFill="1" applyBorder="1" applyAlignment="1">
      <alignment horizontal="justify" vertical="center" wrapText="1"/>
    </xf>
    <xf numFmtId="0" fontId="83" fillId="4" borderId="7" xfId="0" applyFont="1" applyFill="1" applyBorder="1" applyAlignment="1">
      <alignment horizontal="justify" vertical="center" textRotation="90" wrapText="1"/>
    </xf>
    <xf numFmtId="0" fontId="83" fillId="4" borderId="9" xfId="0" applyFont="1" applyFill="1" applyBorder="1" applyAlignment="1">
      <alignment horizontal="justify" vertical="center" textRotation="90" wrapText="1"/>
    </xf>
    <xf numFmtId="49" fontId="48" fillId="18" borderId="37" xfId="0" applyNumberFormat="1" applyFont="1" applyFill="1" applyBorder="1" applyAlignment="1">
      <alignment horizontal="justify" vertical="center"/>
    </xf>
    <xf numFmtId="49" fontId="48" fillId="18" borderId="16" xfId="0" applyNumberFormat="1" applyFont="1" applyFill="1" applyBorder="1" applyAlignment="1">
      <alignment horizontal="justify" vertical="center"/>
    </xf>
    <xf numFmtId="0" fontId="47" fillId="45" borderId="37" xfId="0" applyFont="1" applyFill="1" applyBorder="1" applyAlignment="1">
      <alignment horizontal="justify" vertical="center" wrapText="1"/>
    </xf>
    <xf numFmtId="0" fontId="47" fillId="45" borderId="16" xfId="0" applyFont="1" applyFill="1" applyBorder="1" applyAlignment="1">
      <alignment horizontal="justify" vertical="center" wrapText="1"/>
    </xf>
    <xf numFmtId="0" fontId="48" fillId="4" borderId="37" xfId="0" applyFont="1" applyFill="1" applyBorder="1" applyAlignment="1">
      <alignment horizontal="justify" vertical="center" textRotation="90" wrapText="1"/>
    </xf>
    <xf numFmtId="0" fontId="48" fillId="4" borderId="16" xfId="0" applyFont="1" applyFill="1" applyBorder="1" applyAlignment="1">
      <alignment horizontal="justify" vertical="center" textRotation="90" wrapText="1"/>
    </xf>
    <xf numFmtId="0" fontId="43" fillId="0" borderId="0" xfId="0" applyFont="1" applyAlignment="1">
      <alignment horizontal="left" vertical="center"/>
    </xf>
    <xf numFmtId="0" fontId="48" fillId="4" borderId="6" xfId="0" applyFont="1" applyFill="1" applyBorder="1" applyAlignment="1">
      <alignment horizontal="justify" vertical="center" textRotation="90" wrapText="1"/>
    </xf>
    <xf numFmtId="0" fontId="48" fillId="4" borderId="7" xfId="0" applyFont="1" applyFill="1" applyBorder="1" applyAlignment="1">
      <alignment horizontal="justify" vertical="center" textRotation="90" wrapText="1"/>
    </xf>
    <xf numFmtId="0" fontId="47" fillId="4" borderId="11" xfId="0" applyFont="1" applyFill="1" applyBorder="1" applyAlignment="1">
      <alignment horizontal="justify" vertical="center" wrapText="1"/>
    </xf>
    <xf numFmtId="0" fontId="47" fillId="4" borderId="26" xfId="0" applyFont="1" applyFill="1" applyBorder="1" applyAlignment="1">
      <alignment horizontal="justify" vertical="center" wrapText="1"/>
    </xf>
    <xf numFmtId="166" fontId="83" fillId="0" borderId="17" xfId="0" applyNumberFormat="1" applyFont="1" applyBorder="1" applyAlignment="1">
      <alignment horizontal="justify" vertical="center" wrapText="1"/>
    </xf>
    <xf numFmtId="49" fontId="48" fillId="0" borderId="6" xfId="0" applyNumberFormat="1" applyFont="1" applyBorder="1" applyAlignment="1">
      <alignment horizontal="justify" vertical="center"/>
    </xf>
    <xf numFmtId="0" fontId="47" fillId="4" borderId="6" xfId="0" applyFont="1" applyFill="1" applyBorder="1" applyAlignment="1">
      <alignment horizontal="justify" vertical="center" wrapText="1"/>
    </xf>
    <xf numFmtId="0" fontId="47" fillId="4" borderId="7" xfId="0" applyFont="1" applyFill="1" applyBorder="1" applyAlignment="1">
      <alignment horizontal="justify" vertical="center" wrapText="1"/>
    </xf>
    <xf numFmtId="49" fontId="48" fillId="0" borderId="17" xfId="0" applyNumberFormat="1" applyFont="1" applyBorder="1" applyAlignment="1">
      <alignment horizontal="justify" vertical="center"/>
    </xf>
    <xf numFmtId="49" fontId="48" fillId="0" borderId="20" xfId="0" applyNumberFormat="1" applyFont="1" applyBorder="1" applyAlignment="1">
      <alignment horizontal="justify" vertical="center"/>
    </xf>
    <xf numFmtId="49" fontId="48" fillId="0" borderId="18" xfId="0" applyNumberFormat="1" applyFont="1" applyBorder="1" applyAlignment="1">
      <alignment horizontal="justify" vertical="center"/>
    </xf>
    <xf numFmtId="49" fontId="96" fillId="24" borderId="17" xfId="0" applyNumberFormat="1" applyFont="1" applyFill="1" applyBorder="1" applyAlignment="1">
      <alignment horizontal="justify" vertical="center"/>
    </xf>
    <xf numFmtId="49" fontId="96" fillId="24" borderId="20" xfId="0" applyNumberFormat="1" applyFont="1" applyFill="1" applyBorder="1" applyAlignment="1">
      <alignment horizontal="justify" vertical="center"/>
    </xf>
    <xf numFmtId="49" fontId="96" fillId="24" borderId="18" xfId="0" applyNumberFormat="1" applyFont="1" applyFill="1" applyBorder="1" applyAlignment="1">
      <alignment horizontal="justify" vertical="center"/>
    </xf>
    <xf numFmtId="0" fontId="96" fillId="25" borderId="6" xfId="0" applyFont="1" applyFill="1" applyBorder="1" applyAlignment="1">
      <alignment horizontal="justify" vertical="center" textRotation="90" wrapText="1"/>
    </xf>
    <xf numFmtId="49" fontId="83" fillId="0" borderId="7" xfId="0" applyNumberFormat="1" applyFont="1" applyBorder="1" applyAlignment="1">
      <alignment horizontal="justify" vertical="center"/>
    </xf>
    <xf numFmtId="49" fontId="83" fillId="0" borderId="16" xfId="0" applyNumberFormat="1" applyFont="1" applyBorder="1" applyAlignment="1">
      <alignment horizontal="justify" vertical="center"/>
    </xf>
    <xf numFmtId="49" fontId="48" fillId="0" borderId="12" xfId="0" applyNumberFormat="1" applyFont="1" applyBorder="1" applyAlignment="1">
      <alignment horizontal="justify" vertical="center"/>
    </xf>
    <xf numFmtId="0" fontId="85" fillId="0" borderId="23" xfId="0" applyFont="1" applyBorder="1" applyAlignment="1">
      <alignment horizontal="center" vertical="center" wrapText="1"/>
    </xf>
    <xf numFmtId="0" fontId="85" fillId="0" borderId="28" xfId="0" applyFont="1" applyBorder="1" applyAlignment="1">
      <alignment horizontal="center" vertical="center" wrapText="1"/>
    </xf>
    <xf numFmtId="0" fontId="85" fillId="0" borderId="24" xfId="0" applyFont="1" applyBorder="1" applyAlignment="1">
      <alignment horizontal="center" vertical="center" wrapText="1"/>
    </xf>
    <xf numFmtId="49" fontId="96" fillId="24" borderId="17" xfId="0" applyNumberFormat="1" applyFont="1" applyFill="1" applyBorder="1" applyAlignment="1">
      <alignment horizontal="justify" vertical="center" wrapText="1"/>
    </xf>
    <xf numFmtId="49" fontId="96" fillId="24" borderId="18" xfId="0" applyNumberFormat="1" applyFont="1" applyFill="1" applyBorder="1" applyAlignment="1">
      <alignment horizontal="justify" vertical="center" wrapText="1"/>
    </xf>
    <xf numFmtId="49" fontId="48" fillId="0" borderId="16" xfId="0" applyNumberFormat="1" applyFont="1" applyBorder="1" applyAlignment="1">
      <alignment horizontal="justify" vertical="center"/>
    </xf>
    <xf numFmtId="49" fontId="48" fillId="0" borderId="9" xfId="0" applyNumberFormat="1" applyFont="1" applyBorder="1" applyAlignment="1">
      <alignment horizontal="justify" vertical="center"/>
    </xf>
    <xf numFmtId="49" fontId="48" fillId="0" borderId="37" xfId="0" applyNumberFormat="1" applyFont="1" applyBorder="1" applyAlignment="1">
      <alignment horizontal="justify" vertical="center"/>
    </xf>
    <xf numFmtId="0" fontId="47" fillId="0" borderId="21" xfId="0" applyFont="1" applyBorder="1" applyAlignment="1">
      <alignment horizontal="center" vertical="center" textRotation="90" wrapText="1"/>
    </xf>
    <xf numFmtId="0" fontId="47" fillId="0" borderId="70" xfId="0" applyFont="1" applyBorder="1" applyAlignment="1">
      <alignment horizontal="center" vertical="center" textRotation="90" wrapText="1"/>
    </xf>
    <xf numFmtId="0" fontId="47" fillId="5" borderId="24" xfId="0" applyFont="1" applyFill="1" applyBorder="1" applyAlignment="1">
      <alignment horizontal="center" vertical="center" wrapText="1"/>
    </xf>
    <xf numFmtId="0" fontId="47" fillId="5" borderId="25" xfId="0" applyFont="1" applyFill="1" applyBorder="1" applyAlignment="1">
      <alignment horizontal="center" vertical="center" wrapText="1"/>
    </xf>
    <xf numFmtId="0" fontId="48" fillId="4" borderId="9" xfId="0" applyFont="1" applyFill="1" applyBorder="1" applyAlignment="1">
      <alignment horizontal="justify" vertical="center" textRotation="90" wrapText="1"/>
    </xf>
    <xf numFmtId="0" fontId="47" fillId="4" borderId="16" xfId="0" applyFont="1" applyFill="1" applyBorder="1" applyAlignment="1">
      <alignment horizontal="justify" vertical="center" wrapText="1"/>
    </xf>
    <xf numFmtId="49" fontId="48" fillId="0" borderId="17" xfId="0" applyNumberFormat="1" applyFont="1" applyBorder="1" applyAlignment="1">
      <alignment horizontal="justify" vertical="center" textRotation="90"/>
    </xf>
    <xf numFmtId="49" fontId="48" fillId="0" borderId="20" xfId="0" applyNumberFormat="1" applyFont="1" applyBorder="1" applyAlignment="1">
      <alignment horizontal="justify" vertical="center" textRotation="90"/>
    </xf>
    <xf numFmtId="49" fontId="47" fillId="0" borderId="66" xfId="0" applyNumberFormat="1" applyFont="1" applyBorder="1" applyAlignment="1">
      <alignment horizontal="justify" vertical="center" wrapText="1"/>
    </xf>
    <xf numFmtId="49" fontId="47" fillId="0" borderId="69" xfId="0" applyNumberFormat="1" applyFont="1" applyBorder="1" applyAlignment="1">
      <alignment horizontal="justify" vertical="center" wrapText="1"/>
    </xf>
    <xf numFmtId="0" fontId="84" fillId="4" borderId="16" xfId="0" applyFont="1" applyFill="1" applyBorder="1" applyAlignment="1">
      <alignment horizontal="justify" vertical="center" wrapText="1"/>
    </xf>
    <xf numFmtId="0" fontId="84" fillId="4" borderId="9" xfId="0" applyFont="1" applyFill="1" applyBorder="1" applyAlignment="1">
      <alignment horizontal="justify" vertical="center" wrapText="1"/>
    </xf>
    <xf numFmtId="166" fontId="48" fillId="24" borderId="23" xfId="0" applyNumberFormat="1" applyFont="1" applyFill="1" applyBorder="1" applyAlignment="1">
      <alignment horizontal="justify" vertical="center" wrapText="1"/>
    </xf>
    <xf numFmtId="166" fontId="48" fillId="24" borderId="28" xfId="0" applyNumberFormat="1" applyFont="1" applyFill="1" applyBorder="1" applyAlignment="1">
      <alignment horizontal="justify" vertical="center" wrapText="1"/>
    </xf>
    <xf numFmtId="166" fontId="48" fillId="24" borderId="24" xfId="0" applyNumberFormat="1" applyFont="1" applyFill="1" applyBorder="1" applyAlignment="1">
      <alignment horizontal="justify" vertical="center" wrapText="1"/>
    </xf>
    <xf numFmtId="166" fontId="48" fillId="24" borderId="38" xfId="0" applyNumberFormat="1" applyFont="1" applyFill="1" applyBorder="1" applyAlignment="1">
      <alignment horizontal="justify" vertical="center" wrapText="1"/>
    </xf>
    <xf numFmtId="166" fontId="48" fillId="24" borderId="0" xfId="0" applyNumberFormat="1" applyFont="1" applyFill="1" applyAlignment="1">
      <alignment horizontal="justify" vertical="center" wrapText="1"/>
    </xf>
    <xf numFmtId="166" fontId="48" fillId="24" borderId="36" xfId="0" applyNumberFormat="1" applyFont="1" applyFill="1" applyBorder="1" applyAlignment="1">
      <alignment horizontal="justify" vertical="center" wrapText="1"/>
    </xf>
    <xf numFmtId="166" fontId="48" fillId="24" borderId="29" xfId="0" applyNumberFormat="1" applyFont="1" applyFill="1" applyBorder="1" applyAlignment="1">
      <alignment horizontal="justify" vertical="center" wrapText="1"/>
    </xf>
    <xf numFmtId="166" fontId="48" fillId="24" borderId="30" xfId="0" applyNumberFormat="1" applyFont="1" applyFill="1" applyBorder="1" applyAlignment="1">
      <alignment horizontal="justify" vertical="center" wrapText="1"/>
    </xf>
    <xf numFmtId="166" fontId="48" fillId="24" borderId="25" xfId="0" applyNumberFormat="1" applyFont="1" applyFill="1" applyBorder="1" applyAlignment="1">
      <alignment horizontal="justify" vertical="center" wrapText="1"/>
    </xf>
    <xf numFmtId="0" fontId="38" fillId="0" borderId="0" xfId="0" applyFont="1" applyAlignment="1">
      <alignment horizontal="left" vertical="center" wrapText="1"/>
    </xf>
    <xf numFmtId="0" fontId="87" fillId="0" borderId="0" xfId="0" applyFont="1" applyAlignment="1">
      <alignment horizontal="left" vertical="center" wrapText="1"/>
    </xf>
    <xf numFmtId="0" fontId="33" fillId="0" borderId="0" xfId="0" applyFont="1" applyAlignment="1">
      <alignment vertical="top" wrapText="1"/>
    </xf>
    <xf numFmtId="0" fontId="48" fillId="0" borderId="0" xfId="0" applyFont="1" applyAlignment="1">
      <alignment wrapText="1"/>
    </xf>
    <xf numFmtId="0" fontId="47" fillId="0" borderId="73" xfId="0" applyFont="1" applyBorder="1" applyAlignment="1">
      <alignment horizontal="center" vertical="center" textRotation="90" wrapText="1"/>
    </xf>
    <xf numFmtId="0" fontId="47" fillId="0" borderId="74" xfId="0" applyFont="1" applyBorder="1" applyAlignment="1">
      <alignment horizontal="center" vertical="center" textRotation="90" wrapText="1"/>
    </xf>
    <xf numFmtId="0" fontId="47" fillId="0" borderId="15" xfId="0" applyFont="1" applyBorder="1" applyAlignment="1">
      <alignment horizontal="center" vertical="center"/>
    </xf>
    <xf numFmtId="49" fontId="48" fillId="28" borderId="18" xfId="0" applyNumberFormat="1" applyFont="1" applyFill="1" applyBorder="1" applyAlignment="1">
      <alignment horizontal="justify" vertical="center" wrapText="1"/>
    </xf>
    <xf numFmtId="49" fontId="48" fillId="28" borderId="12" xfId="0" applyNumberFormat="1" applyFont="1" applyFill="1" applyBorder="1" applyAlignment="1">
      <alignment horizontal="justify" vertical="center" wrapText="1"/>
    </xf>
    <xf numFmtId="0" fontId="90" fillId="0" borderId="17" xfId="0" applyFont="1" applyBorder="1" applyAlignment="1">
      <alignment horizontal="justify" vertical="center" wrapText="1"/>
    </xf>
    <xf numFmtId="0" fontId="90" fillId="0" borderId="20" xfId="0" applyFont="1" applyBorder="1" applyAlignment="1">
      <alignment horizontal="justify" vertical="center" wrapText="1"/>
    </xf>
    <xf numFmtId="0" fontId="90" fillId="0" borderId="18" xfId="0" applyFont="1" applyBorder="1" applyAlignment="1">
      <alignment horizontal="justify" vertical="center" wrapText="1"/>
    </xf>
    <xf numFmtId="0" fontId="33" fillId="0" borderId="0" xfId="0" applyFont="1" applyAlignment="1">
      <alignment horizontal="left" vertical="top" wrapText="1"/>
    </xf>
    <xf numFmtId="0" fontId="47" fillId="4" borderId="20" xfId="0" applyFont="1" applyFill="1" applyBorder="1" applyAlignment="1">
      <alignment horizontal="center" vertical="center" wrapText="1"/>
    </xf>
    <xf numFmtId="49" fontId="48" fillId="0" borderId="18" xfId="0" applyNumberFormat="1" applyFont="1" applyBorder="1" applyAlignment="1">
      <alignment horizontal="justify" vertical="center" textRotation="90"/>
    </xf>
    <xf numFmtId="49" fontId="96" fillId="24" borderId="12" xfId="0" applyNumberFormat="1" applyFont="1" applyFill="1" applyBorder="1" applyAlignment="1">
      <alignment horizontal="justify" vertical="center" wrapText="1"/>
    </xf>
    <xf numFmtId="49" fontId="96" fillId="24" borderId="18" xfId="0" applyNumberFormat="1" applyFont="1" applyFill="1" applyBorder="1" applyAlignment="1">
      <alignment horizontal="justify" vertical="center" textRotation="90"/>
    </xf>
    <xf numFmtId="49" fontId="96" fillId="24" borderId="12" xfId="0" applyNumberFormat="1" applyFont="1" applyFill="1" applyBorder="1" applyAlignment="1">
      <alignment horizontal="justify" vertical="center" textRotation="90"/>
    </xf>
    <xf numFmtId="49" fontId="96" fillId="24" borderId="9" xfId="0" applyNumberFormat="1" applyFont="1" applyFill="1" applyBorder="1" applyAlignment="1">
      <alignment horizontal="justify" vertical="center"/>
    </xf>
    <xf numFmtId="49" fontId="96" fillId="24" borderId="6" xfId="0" applyNumberFormat="1" applyFont="1" applyFill="1" applyBorder="1" applyAlignment="1">
      <alignment horizontal="justify" vertical="center"/>
    </xf>
    <xf numFmtId="0" fontId="47" fillId="14" borderId="12" xfId="0" applyFont="1" applyFill="1" applyBorder="1" applyAlignment="1">
      <alignment horizontal="justify" vertical="center" wrapText="1"/>
    </xf>
    <xf numFmtId="0" fontId="48" fillId="24" borderId="13" xfId="0" applyFont="1" applyFill="1" applyBorder="1" applyAlignment="1">
      <alignment horizontal="justify" vertical="center" wrapText="1"/>
    </xf>
    <xf numFmtId="0" fontId="48" fillId="24" borderId="27" xfId="0" applyFont="1" applyFill="1" applyBorder="1" applyAlignment="1">
      <alignment horizontal="justify" vertical="center" wrapText="1"/>
    </xf>
    <xf numFmtId="0" fontId="48" fillId="24" borderId="15" xfId="0" applyFont="1" applyFill="1" applyBorder="1" applyAlignment="1">
      <alignment horizontal="justify" vertical="center" wrapText="1"/>
    </xf>
    <xf numFmtId="0" fontId="48" fillId="0" borderId="23" xfId="0" applyFont="1" applyBorder="1" applyAlignment="1">
      <alignment horizontal="justify" vertical="center"/>
    </xf>
    <xf numFmtId="0" fontId="48" fillId="0" borderId="28" xfId="0" applyFont="1" applyBorder="1" applyAlignment="1">
      <alignment horizontal="justify" vertical="center"/>
    </xf>
    <xf numFmtId="0" fontId="47" fillId="4" borderId="9" xfId="0" applyFont="1" applyFill="1" applyBorder="1" applyAlignment="1">
      <alignment horizontal="justify" vertical="center" wrapText="1"/>
    </xf>
    <xf numFmtId="0" fontId="47" fillId="0" borderId="24" xfId="0" applyFont="1" applyBorder="1" applyAlignment="1">
      <alignment horizontal="justify" vertical="center"/>
    </xf>
    <xf numFmtId="0" fontId="47" fillId="0" borderId="36" xfId="0" applyFont="1" applyBorder="1" applyAlignment="1">
      <alignment horizontal="justify" vertical="center"/>
    </xf>
    <xf numFmtId="0" fontId="47" fillId="0" borderId="0" xfId="0" applyFont="1" applyAlignment="1">
      <alignment horizontal="left" vertical="top" wrapText="1"/>
    </xf>
    <xf numFmtId="0" fontId="47" fillId="0" borderId="75" xfId="0" applyFont="1" applyBorder="1" applyAlignment="1">
      <alignment horizontal="center" vertical="center" textRotation="90" wrapText="1"/>
    </xf>
    <xf numFmtId="0" fontId="47" fillId="0" borderId="19" xfId="0" applyFont="1" applyBorder="1" applyAlignment="1">
      <alignment horizontal="center" vertical="center" textRotation="90" wrapText="1"/>
    </xf>
    <xf numFmtId="0" fontId="84" fillId="5" borderId="12" xfId="0" applyFont="1" applyFill="1" applyBorder="1" applyAlignment="1">
      <alignment horizontal="center" vertical="center" wrapText="1"/>
    </xf>
    <xf numFmtId="0" fontId="84" fillId="5" borderId="20" xfId="0" applyFont="1" applyFill="1" applyBorder="1" applyAlignment="1">
      <alignment horizontal="center" vertical="center" wrapText="1"/>
    </xf>
    <xf numFmtId="0" fontId="84" fillId="16" borderId="20" xfId="0" applyFont="1" applyFill="1" applyBorder="1" applyAlignment="1">
      <alignment horizontal="center" vertical="center" wrapText="1"/>
    </xf>
    <xf numFmtId="0" fontId="87" fillId="0" borderId="0" xfId="0" applyFont="1" applyAlignment="1">
      <alignment horizontal="left" vertical="top" wrapText="1"/>
    </xf>
    <xf numFmtId="49" fontId="48" fillId="0" borderId="0" xfId="0" applyNumberFormat="1" applyFont="1" applyAlignment="1">
      <alignment horizontal="left" wrapText="1"/>
    </xf>
    <xf numFmtId="0" fontId="48" fillId="0" borderId="0" xfId="0" applyFont="1" applyAlignment="1">
      <alignment horizontal="left" wrapText="1"/>
    </xf>
    <xf numFmtId="49" fontId="48" fillId="0" borderId="7" xfId="0" applyNumberFormat="1" applyFont="1" applyBorder="1" applyAlignment="1">
      <alignment horizontal="justify" vertical="center"/>
    </xf>
    <xf numFmtId="0" fontId="96" fillId="25" borderId="12" xfId="0" applyFont="1" applyFill="1" applyBorder="1" applyAlignment="1">
      <alignment horizontal="justify" vertical="center" wrapText="1"/>
    </xf>
    <xf numFmtId="49" fontId="48" fillId="0" borderId="14" xfId="0" applyNumberFormat="1" applyFont="1" applyBorder="1" applyAlignment="1">
      <alignment horizontal="justify" vertical="center"/>
    </xf>
    <xf numFmtId="49" fontId="48" fillId="0" borderId="8" xfId="0" applyNumberFormat="1" applyFont="1" applyBorder="1" applyAlignment="1">
      <alignment horizontal="justify" vertical="center"/>
    </xf>
    <xf numFmtId="49" fontId="48" fillId="0" borderId="13" xfId="0" applyNumberFormat="1" applyFont="1" applyBorder="1" applyAlignment="1">
      <alignment horizontal="justify" vertical="center"/>
    </xf>
    <xf numFmtId="166" fontId="96" fillId="24" borderId="23" xfId="0" applyNumberFormat="1" applyFont="1" applyFill="1" applyBorder="1" applyAlignment="1">
      <alignment horizontal="justify" vertical="center" wrapText="1"/>
    </xf>
    <xf numFmtId="166" fontId="96" fillId="24" borderId="28" xfId="0" applyNumberFormat="1" applyFont="1" applyFill="1" applyBorder="1" applyAlignment="1">
      <alignment horizontal="justify" vertical="center" wrapText="1"/>
    </xf>
    <xf numFmtId="166" fontId="96" fillId="24" borderId="24" xfId="0" applyNumberFormat="1" applyFont="1" applyFill="1" applyBorder="1" applyAlignment="1">
      <alignment horizontal="justify" vertical="center" wrapText="1"/>
    </xf>
    <xf numFmtId="166" fontId="96" fillId="24" borderId="38" xfId="0" applyNumberFormat="1" applyFont="1" applyFill="1" applyBorder="1" applyAlignment="1">
      <alignment horizontal="justify" vertical="center" wrapText="1"/>
    </xf>
    <xf numFmtId="166" fontId="96" fillId="24" borderId="0" xfId="0" applyNumberFormat="1" applyFont="1" applyFill="1" applyAlignment="1">
      <alignment horizontal="justify" vertical="center" wrapText="1"/>
    </xf>
    <xf numFmtId="166" fontId="96" fillId="24" borderId="36" xfId="0" applyNumberFormat="1" applyFont="1" applyFill="1" applyBorder="1" applyAlignment="1">
      <alignment horizontal="justify" vertical="center" wrapText="1"/>
    </xf>
    <xf numFmtId="166" fontId="96" fillId="24" borderId="29" xfId="0" applyNumberFormat="1" applyFont="1" applyFill="1" applyBorder="1" applyAlignment="1">
      <alignment horizontal="justify" vertical="center" wrapText="1"/>
    </xf>
    <xf numFmtId="166" fontId="96" fillId="24" borderId="30" xfId="0" applyNumberFormat="1" applyFont="1" applyFill="1" applyBorder="1" applyAlignment="1">
      <alignment horizontal="justify" vertical="center" wrapText="1"/>
    </xf>
    <xf numFmtId="166" fontId="96" fillId="24" borderId="25" xfId="0" applyNumberFormat="1" applyFont="1" applyFill="1" applyBorder="1" applyAlignment="1">
      <alignment horizontal="justify" vertical="center" wrapText="1"/>
    </xf>
    <xf numFmtId="0" fontId="29" fillId="0" borderId="0" xfId="0" applyFont="1" applyAlignment="1">
      <alignment horizontal="left" vertical="top" wrapText="1"/>
    </xf>
    <xf numFmtId="0" fontId="29" fillId="0" borderId="36" xfId="0" applyFont="1" applyBorder="1" applyAlignment="1">
      <alignment horizontal="left" vertical="top" wrapText="1"/>
    </xf>
    <xf numFmtId="0" fontId="47" fillId="5" borderId="12" xfId="0" applyFont="1" applyFill="1" applyBorder="1" applyAlignment="1">
      <alignment horizontal="center" vertical="center" wrapText="1"/>
    </xf>
    <xf numFmtId="0" fontId="48" fillId="0" borderId="18" xfId="0" applyFont="1" applyBorder="1" applyAlignment="1">
      <alignment horizontal="justify" vertical="center" wrapText="1"/>
    </xf>
    <xf numFmtId="0" fontId="47" fillId="16" borderId="12" xfId="0" applyFont="1" applyFill="1" applyBorder="1" applyAlignment="1">
      <alignment horizontal="center" vertical="center" wrapText="1"/>
    </xf>
    <xf numFmtId="0" fontId="47" fillId="0" borderId="12" xfId="0" applyFont="1" applyBorder="1" applyAlignment="1">
      <alignment horizontal="center" vertical="center" textRotation="90" wrapText="1"/>
    </xf>
    <xf numFmtId="0" fontId="48" fillId="0" borderId="0" xfId="0" applyFont="1" applyAlignment="1">
      <alignment horizontal="left" vertical="top" wrapText="1"/>
    </xf>
    <xf numFmtId="0" fontId="33" fillId="0" borderId="0" xfId="0" applyFont="1" applyAlignment="1">
      <alignment horizontal="justify" vertical="top" wrapText="1"/>
    </xf>
    <xf numFmtId="0" fontId="48" fillId="11" borderId="12" xfId="0" applyFont="1" applyFill="1" applyBorder="1" applyAlignment="1">
      <alignment horizontal="center"/>
    </xf>
    <xf numFmtId="0" fontId="47" fillId="0" borderId="23" xfId="0" applyFont="1" applyBorder="1" applyAlignment="1">
      <alignment horizontal="center"/>
    </xf>
    <xf numFmtId="0" fontId="47" fillId="0" borderId="38" xfId="0" applyFont="1" applyBorder="1" applyAlignment="1">
      <alignment horizontal="center"/>
    </xf>
    <xf numFmtId="0" fontId="47" fillId="0" borderId="29" xfId="0" applyFont="1" applyBorder="1" applyAlignment="1">
      <alignment horizontal="center"/>
    </xf>
    <xf numFmtId="0" fontId="47" fillId="45" borderId="6" xfId="0" applyFont="1" applyFill="1" applyBorder="1" applyAlignment="1">
      <alignment horizontal="justify" vertical="center" wrapText="1"/>
    </xf>
    <xf numFmtId="0" fontId="47" fillId="45" borderId="7" xfId="0" applyFont="1" applyFill="1" applyBorder="1" applyAlignment="1">
      <alignment horizontal="justify" vertical="center" wrapText="1"/>
    </xf>
    <xf numFmtId="49" fontId="48" fillId="41" borderId="12" xfId="0" applyNumberFormat="1" applyFont="1" applyFill="1" applyBorder="1" applyAlignment="1">
      <alignment horizontal="justify" vertical="center"/>
    </xf>
    <xf numFmtId="0" fontId="47" fillId="45" borderId="9" xfId="0" applyFont="1" applyFill="1" applyBorder="1" applyAlignment="1">
      <alignment horizontal="justify" vertical="center" wrapText="1"/>
    </xf>
    <xf numFmtId="166" fontId="84" fillId="41" borderId="17" xfId="0" applyNumberFormat="1" applyFont="1" applyFill="1" applyBorder="1" applyAlignment="1">
      <alignment horizontal="justify" vertical="center"/>
    </xf>
    <xf numFmtId="166" fontId="84" fillId="41" borderId="20" xfId="0" applyNumberFormat="1" applyFont="1" applyFill="1" applyBorder="1" applyAlignment="1">
      <alignment horizontal="justify" vertical="center"/>
    </xf>
    <xf numFmtId="0" fontId="47" fillId="41" borderId="31" xfId="0" applyFont="1" applyFill="1" applyBorder="1" applyAlignment="1">
      <alignment horizontal="justify" vertical="center"/>
    </xf>
    <xf numFmtId="0" fontId="47" fillId="41" borderId="20" xfId="0" applyFont="1" applyFill="1" applyBorder="1" applyAlignment="1">
      <alignment horizontal="justify" vertical="center"/>
    </xf>
    <xf numFmtId="0" fontId="47" fillId="41" borderId="12" xfId="0" applyFont="1" applyFill="1" applyBorder="1" applyAlignment="1">
      <alignment horizontal="justify" vertical="center" wrapText="1"/>
    </xf>
    <xf numFmtId="0" fontId="48" fillId="42" borderId="12" xfId="0" applyFont="1" applyFill="1" applyBorder="1" applyAlignment="1">
      <alignment horizontal="justify" vertical="center" textRotation="90" wrapText="1"/>
    </xf>
    <xf numFmtId="0" fontId="48" fillId="42" borderId="17" xfId="0" applyFont="1" applyFill="1" applyBorder="1" applyAlignment="1">
      <alignment horizontal="justify" vertical="center" textRotation="90" wrapText="1"/>
    </xf>
    <xf numFmtId="49" fontId="48" fillId="18" borderId="12" xfId="0" applyNumberFormat="1" applyFont="1" applyFill="1" applyBorder="1" applyAlignment="1">
      <alignment horizontal="justify" vertical="center" wrapText="1"/>
    </xf>
    <xf numFmtId="0" fontId="49" fillId="0" borderId="0" xfId="0" applyFont="1" applyAlignment="1">
      <alignment horizontal="center" vertical="center" wrapText="1"/>
    </xf>
    <xf numFmtId="0" fontId="48" fillId="0" borderId="12" xfId="0" applyFont="1" applyBorder="1" applyAlignment="1">
      <alignment vertical="top" wrapText="1"/>
    </xf>
    <xf numFmtId="0" fontId="47" fillId="0" borderId="12" xfId="0" applyFont="1" applyBorder="1" applyAlignment="1">
      <alignment vertical="top" wrapText="1"/>
    </xf>
    <xf numFmtId="0" fontId="48" fillId="0" borderId="12" xfId="0" applyFont="1" applyBorder="1" applyAlignment="1">
      <alignment vertical="center" wrapText="1"/>
    </xf>
    <xf numFmtId="49" fontId="48" fillId="0" borderId="69" xfId="0" applyNumberFormat="1" applyFont="1" applyBorder="1" applyAlignment="1">
      <alignment horizontal="justify" vertical="center"/>
    </xf>
    <xf numFmtId="166" fontId="47" fillId="0" borderId="12" xfId="0" applyNumberFormat="1" applyFont="1" applyBorder="1" applyAlignment="1">
      <alignment horizontal="justify" vertical="center"/>
    </xf>
    <xf numFmtId="49" fontId="48" fillId="41" borderId="12" xfId="0" applyNumberFormat="1" applyFont="1" applyFill="1" applyBorder="1" applyAlignment="1">
      <alignment horizontal="justify" vertical="center" wrapText="1"/>
    </xf>
    <xf numFmtId="49" fontId="48" fillId="41" borderId="17" xfId="0" applyNumberFormat="1" applyFont="1" applyFill="1" applyBorder="1" applyAlignment="1">
      <alignment horizontal="justify" vertical="center" wrapText="1"/>
    </xf>
    <xf numFmtId="0" fontId="47" fillId="0" borderId="0" xfId="0" applyFont="1" applyAlignment="1">
      <alignment horizontal="center" vertical="center" wrapText="1"/>
    </xf>
    <xf numFmtId="166" fontId="47" fillId="41" borderId="17" xfId="0" applyNumberFormat="1" applyFont="1" applyFill="1" applyBorder="1" applyAlignment="1">
      <alignment horizontal="justify" vertical="center"/>
    </xf>
    <xf numFmtId="166" fontId="47" fillId="41" borderId="20" xfId="0" applyNumberFormat="1" applyFont="1" applyFill="1" applyBorder="1" applyAlignment="1">
      <alignment horizontal="justify" vertical="center"/>
    </xf>
    <xf numFmtId="49" fontId="83" fillId="0" borderId="12" xfId="0" applyNumberFormat="1" applyFont="1" applyBorder="1" applyAlignment="1">
      <alignment horizontal="justify" vertical="center" wrapText="1"/>
    </xf>
    <xf numFmtId="166" fontId="48" fillId="41" borderId="17" xfId="0" applyNumberFormat="1" applyFont="1" applyFill="1" applyBorder="1" applyAlignment="1">
      <alignment horizontal="justify" vertical="center" wrapText="1"/>
    </xf>
    <xf numFmtId="166" fontId="48" fillId="41" borderId="20" xfId="0" applyNumberFormat="1" applyFont="1" applyFill="1" applyBorder="1" applyAlignment="1">
      <alignment horizontal="justify" vertical="center" wrapText="1"/>
    </xf>
    <xf numFmtId="166" fontId="47" fillId="41" borderId="12" xfId="0" applyNumberFormat="1" applyFont="1" applyFill="1" applyBorder="1" applyAlignment="1">
      <alignment horizontal="justify" vertical="center"/>
    </xf>
    <xf numFmtId="0" fontId="47" fillId="18" borderId="12" xfId="0" applyFont="1" applyFill="1" applyBorder="1" applyAlignment="1">
      <alignment horizontal="justify" vertical="center" wrapText="1"/>
    </xf>
    <xf numFmtId="9" fontId="84" fillId="41" borderId="17" xfId="22" applyFont="1" applyFill="1" applyBorder="1" applyAlignment="1">
      <alignment horizontal="justify" vertical="center"/>
    </xf>
    <xf numFmtId="9" fontId="84" fillId="41" borderId="20" xfId="22" applyFont="1" applyFill="1" applyBorder="1" applyAlignment="1">
      <alignment horizontal="justify" vertical="center"/>
    </xf>
    <xf numFmtId="166" fontId="47" fillId="0" borderId="20" xfId="0" applyNumberFormat="1" applyFont="1" applyBorder="1" applyAlignment="1">
      <alignment horizontal="center" vertical="center"/>
    </xf>
    <xf numFmtId="166" fontId="47" fillId="23" borderId="17" xfId="0" applyNumberFormat="1" applyFont="1" applyFill="1" applyBorder="1" applyAlignment="1">
      <alignment horizontal="justify" vertical="center" wrapText="1"/>
    </xf>
    <xf numFmtId="166" fontId="47" fillId="23" borderId="18" xfId="0" applyNumberFormat="1" applyFont="1" applyFill="1" applyBorder="1" applyAlignment="1">
      <alignment horizontal="justify" vertical="center" wrapText="1"/>
    </xf>
    <xf numFmtId="0" fontId="47" fillId="23" borderId="17" xfId="0" applyFont="1" applyFill="1" applyBorder="1" applyAlignment="1">
      <alignment horizontal="center" vertical="center" wrapText="1"/>
    </xf>
    <xf numFmtId="0" fontId="47" fillId="23" borderId="18" xfId="0" applyFont="1" applyFill="1" applyBorder="1" applyAlignment="1">
      <alignment horizontal="center" vertical="center" wrapText="1"/>
    </xf>
    <xf numFmtId="0" fontId="48" fillId="23" borderId="17" xfId="0" applyFont="1" applyFill="1" applyBorder="1" applyAlignment="1">
      <alignment horizontal="justify" vertical="center"/>
    </xf>
    <xf numFmtId="0" fontId="48" fillId="23" borderId="18" xfId="0" applyFont="1" applyFill="1" applyBorder="1" applyAlignment="1">
      <alignment horizontal="justify" vertical="center"/>
    </xf>
    <xf numFmtId="0" fontId="47" fillId="23" borderId="17" xfId="0" applyFont="1" applyFill="1" applyBorder="1" applyAlignment="1">
      <alignment horizontal="justify" vertical="center"/>
    </xf>
    <xf numFmtId="0" fontId="47" fillId="23" borderId="18" xfId="0" applyFont="1" applyFill="1" applyBorder="1" applyAlignment="1">
      <alignment horizontal="justify" vertical="center"/>
    </xf>
    <xf numFmtId="0" fontId="47" fillId="23" borderId="12" xfId="0" applyFont="1" applyFill="1" applyBorder="1" applyAlignment="1">
      <alignment horizontal="justify" vertical="center" wrapText="1"/>
    </xf>
    <xf numFmtId="0" fontId="83" fillId="23" borderId="12" xfId="0" applyFont="1" applyFill="1" applyBorder="1" applyAlignment="1">
      <alignment horizontal="justify" vertical="center" wrapText="1"/>
    </xf>
    <xf numFmtId="166" fontId="47" fillId="23" borderId="12" xfId="0" applyNumberFormat="1" applyFont="1" applyFill="1" applyBorder="1" applyAlignment="1">
      <alignment horizontal="justify" vertical="center" wrapText="1"/>
    </xf>
    <xf numFmtId="9" fontId="47" fillId="23" borderId="12" xfId="22" applyFont="1" applyFill="1" applyBorder="1" applyAlignment="1">
      <alignment horizontal="justify" vertical="center" wrapText="1"/>
    </xf>
    <xf numFmtId="166" fontId="97" fillId="23" borderId="12" xfId="0" applyNumberFormat="1" applyFont="1" applyFill="1" applyBorder="1" applyAlignment="1">
      <alignment horizontal="justify" vertical="center" wrapText="1"/>
    </xf>
    <xf numFmtId="166" fontId="47" fillId="23" borderId="12" xfId="0" applyNumberFormat="1" applyFont="1" applyFill="1" applyBorder="1" applyAlignment="1">
      <alignment horizontal="center" vertical="center" wrapText="1"/>
    </xf>
    <xf numFmtId="0" fontId="48" fillId="23" borderId="12" xfId="0" applyFont="1" applyFill="1" applyBorder="1" applyAlignment="1">
      <alignment horizontal="justify" vertical="center"/>
    </xf>
    <xf numFmtId="49" fontId="47" fillId="23" borderId="12" xfId="0" applyNumberFormat="1" applyFont="1" applyFill="1" applyBorder="1" applyAlignment="1">
      <alignment horizontal="justify" vertical="center" wrapText="1"/>
    </xf>
    <xf numFmtId="166" fontId="48" fillId="0" borderId="20" xfId="0" applyNumberFormat="1" applyFont="1" applyBorder="1" applyAlignment="1">
      <alignment horizontal="justify" vertical="center"/>
    </xf>
    <xf numFmtId="0" fontId="48" fillId="0" borderId="6" xfId="0" applyFont="1" applyBorder="1" applyAlignment="1">
      <alignment horizontal="justify" vertical="center" textRotation="90" wrapText="1"/>
    </xf>
    <xf numFmtId="0" fontId="88" fillId="0" borderId="6" xfId="0" applyFont="1" applyBorder="1" applyAlignment="1">
      <alignment horizontal="justify" vertical="center" textRotation="90" wrapText="1"/>
    </xf>
    <xf numFmtId="166" fontId="47" fillId="0" borderId="15" xfId="0" applyNumberFormat="1" applyFont="1" applyBorder="1" applyAlignment="1">
      <alignment horizontal="center" vertical="center"/>
    </xf>
    <xf numFmtId="0" fontId="47" fillId="23" borderId="17" xfId="0" applyFont="1" applyFill="1" applyBorder="1" applyAlignment="1">
      <alignment horizontal="justify" vertical="center" wrapText="1"/>
    </xf>
    <xf numFmtId="0" fontId="47" fillId="23" borderId="18" xfId="0" applyFont="1" applyFill="1" applyBorder="1" applyAlignment="1">
      <alignment horizontal="justify" vertical="center" wrapText="1"/>
    </xf>
    <xf numFmtId="0" fontId="47" fillId="0" borderId="12" xfId="0" applyFont="1" applyBorder="1" applyAlignment="1">
      <alignment vertical="center" wrapText="1"/>
    </xf>
    <xf numFmtId="0" fontId="48" fillId="0" borderId="7" xfId="0" applyFont="1" applyBorder="1" applyAlignment="1">
      <alignment horizontal="justify" vertical="center" textRotation="90" wrapText="1"/>
    </xf>
    <xf numFmtId="49" fontId="47" fillId="0" borderId="6" xfId="0" applyNumberFormat="1" applyFont="1" applyBorder="1" applyAlignment="1">
      <alignment horizontal="justify" vertical="center"/>
    </xf>
    <xf numFmtId="0" fontId="47" fillId="4" borderId="12" xfId="0" applyFont="1" applyFill="1" applyBorder="1" applyAlignment="1">
      <alignment vertical="center" wrapText="1"/>
    </xf>
    <xf numFmtId="0" fontId="96" fillId="24" borderId="13" xfId="0" applyFont="1" applyFill="1" applyBorder="1" applyAlignment="1">
      <alignment vertical="center" wrapText="1"/>
    </xf>
    <xf numFmtId="0" fontId="96" fillId="24" borderId="27" xfId="0" applyFont="1" applyFill="1" applyBorder="1" applyAlignment="1">
      <alignment vertical="center" wrapText="1"/>
    </xf>
    <xf numFmtId="0" fontId="96" fillId="24" borderId="15" xfId="0" applyFont="1" applyFill="1" applyBorder="1" applyAlignment="1">
      <alignment vertical="center" wrapText="1"/>
    </xf>
    <xf numFmtId="0" fontId="48" fillId="11" borderId="12" xfId="0" applyFont="1" applyFill="1" applyBorder="1" applyAlignment="1">
      <alignment vertical="center"/>
    </xf>
    <xf numFmtId="166" fontId="47" fillId="0" borderId="24" xfId="0" applyNumberFormat="1" applyFont="1" applyBorder="1" applyAlignment="1">
      <alignment horizontal="center" vertical="center"/>
    </xf>
    <xf numFmtId="166" fontId="47" fillId="0" borderId="25" xfId="0" applyNumberFormat="1" applyFont="1" applyBorder="1" applyAlignment="1">
      <alignment horizontal="center" vertical="center"/>
    </xf>
    <xf numFmtId="0" fontId="88" fillId="0" borderId="7" xfId="0" applyFont="1" applyBorder="1" applyAlignment="1">
      <alignment horizontal="justify" vertical="center" textRotation="90" wrapText="1"/>
    </xf>
    <xf numFmtId="0" fontId="48" fillId="0" borderId="9" xfId="0" applyFont="1" applyBorder="1" applyAlignment="1">
      <alignment horizontal="justify" vertical="center" textRotation="90" wrapText="1"/>
    </xf>
    <xf numFmtId="49" fontId="86" fillId="0" borderId="6" xfId="0" applyNumberFormat="1" applyFont="1" applyBorder="1" applyAlignment="1">
      <alignment horizontal="justify" vertical="center"/>
    </xf>
    <xf numFmtId="0" fontId="47" fillId="18" borderId="6" xfId="0" applyFont="1" applyFill="1" applyBorder="1" applyAlignment="1">
      <alignment horizontal="justify" vertical="center" wrapText="1"/>
    </xf>
    <xf numFmtId="0" fontId="47" fillId="18" borderId="7" xfId="0" applyFont="1" applyFill="1" applyBorder="1" applyAlignment="1">
      <alignment horizontal="justify" vertical="center" wrapText="1"/>
    </xf>
    <xf numFmtId="49" fontId="88" fillId="0" borderId="6" xfId="0" applyNumberFormat="1" applyFont="1" applyBorder="1" applyAlignment="1">
      <alignment horizontal="justify" vertical="center"/>
    </xf>
    <xf numFmtId="0" fontId="86" fillId="0" borderId="6" xfId="0" applyFont="1" applyBorder="1" applyAlignment="1">
      <alignment horizontal="justify" vertical="center" wrapText="1"/>
    </xf>
    <xf numFmtId="0" fontId="48" fillId="23" borderId="17" xfId="0" applyFont="1" applyFill="1" applyBorder="1" applyAlignment="1">
      <alignment horizontal="justify" vertical="center" wrapText="1"/>
    </xf>
    <xf numFmtId="0" fontId="48" fillId="23" borderId="18" xfId="0" applyFont="1" applyFill="1" applyBorder="1" applyAlignment="1">
      <alignment horizontal="justify" vertical="center" wrapText="1"/>
    </xf>
    <xf numFmtId="9" fontId="47" fillId="23" borderId="17" xfId="22" applyFont="1" applyFill="1" applyBorder="1" applyAlignment="1">
      <alignment horizontal="justify" vertical="center" wrapText="1"/>
    </xf>
    <xf numFmtId="9" fontId="47" fillId="23" borderId="18" xfId="22" applyFont="1" applyFill="1" applyBorder="1" applyAlignment="1">
      <alignment horizontal="justify" vertical="center" wrapText="1"/>
    </xf>
    <xf numFmtId="166" fontId="47" fillId="0" borderId="36" xfId="0" applyNumberFormat="1" applyFont="1" applyBorder="1" applyAlignment="1">
      <alignment horizontal="center" vertical="center"/>
    </xf>
    <xf numFmtId="0" fontId="97" fillId="5" borderId="12" xfId="0" applyFont="1" applyFill="1" applyBorder="1" applyAlignment="1">
      <alignment horizontal="center" vertical="center" wrapText="1"/>
    </xf>
    <xf numFmtId="0" fontId="97" fillId="16" borderId="12" xfId="0" applyFont="1" applyFill="1" applyBorder="1" applyAlignment="1">
      <alignment horizontal="center" vertical="center" wrapText="1"/>
    </xf>
    <xf numFmtId="49" fontId="91" fillId="0" borderId="17" xfId="0" applyNumberFormat="1" applyFont="1" applyBorder="1" applyAlignment="1">
      <alignment horizontal="justify" vertical="center" wrapText="1"/>
    </xf>
    <xf numFmtId="49" fontId="91" fillId="0" borderId="20" xfId="0" applyNumberFormat="1" applyFont="1" applyBorder="1" applyAlignment="1">
      <alignment horizontal="justify" vertical="center" wrapText="1"/>
    </xf>
    <xf numFmtId="49" fontId="91" fillId="0" borderId="18" xfId="0" applyNumberFormat="1" applyFont="1" applyBorder="1" applyAlignment="1">
      <alignment horizontal="justify" vertical="center" wrapText="1"/>
    </xf>
    <xf numFmtId="49" fontId="47" fillId="24" borderId="17" xfId="0" applyNumberFormat="1" applyFont="1" applyFill="1" applyBorder="1" applyAlignment="1">
      <alignment horizontal="justify" vertical="center" wrapText="1"/>
    </xf>
    <xf numFmtId="49" fontId="47" fillId="24" borderId="20" xfId="0" applyNumberFormat="1" applyFont="1" applyFill="1" applyBorder="1" applyAlignment="1">
      <alignment horizontal="justify" vertical="center" wrapText="1"/>
    </xf>
    <xf numFmtId="49" fontId="47" fillId="24" borderId="18" xfId="0" applyNumberFormat="1" applyFont="1" applyFill="1" applyBorder="1" applyAlignment="1">
      <alignment horizontal="justify" vertical="center" wrapText="1"/>
    </xf>
    <xf numFmtId="49" fontId="91" fillId="0" borderId="12" xfId="0" applyNumberFormat="1" applyFont="1" applyBorder="1" applyAlignment="1">
      <alignment horizontal="justify" vertical="center" wrapText="1"/>
    </xf>
    <xf numFmtId="49" fontId="48" fillId="41" borderId="20" xfId="0" applyNumberFormat="1" applyFont="1" applyFill="1" applyBorder="1" applyAlignment="1">
      <alignment horizontal="justify" vertical="center" wrapText="1"/>
    </xf>
    <xf numFmtId="49" fontId="48" fillId="41" borderId="18" xfId="0" applyNumberFormat="1" applyFont="1" applyFill="1" applyBorder="1" applyAlignment="1">
      <alignment horizontal="justify" vertical="center" wrapText="1"/>
    </xf>
    <xf numFmtId="166" fontId="48" fillId="41" borderId="20" xfId="0" applyNumberFormat="1" applyFont="1" applyFill="1" applyBorder="1" applyAlignment="1">
      <alignment horizontal="justify" vertical="center"/>
    </xf>
    <xf numFmtId="166" fontId="48" fillId="41" borderId="18" xfId="0" applyNumberFormat="1" applyFont="1" applyFill="1" applyBorder="1" applyAlignment="1">
      <alignment horizontal="justify" vertical="center"/>
    </xf>
    <xf numFmtId="166" fontId="91" fillId="0" borderId="17" xfId="0" applyNumberFormat="1" applyFont="1" applyBorder="1" applyAlignment="1">
      <alignment horizontal="justify" vertical="center" wrapText="1"/>
    </xf>
    <xf numFmtId="166" fontId="91" fillId="0" borderId="20" xfId="0" applyNumberFormat="1" applyFont="1" applyBorder="1" applyAlignment="1">
      <alignment horizontal="justify" vertical="center" wrapText="1"/>
    </xf>
    <xf numFmtId="0" fontId="96" fillId="41" borderId="12" xfId="0" applyFont="1" applyFill="1" applyBorder="1" applyAlignment="1">
      <alignment horizontal="justify" vertical="center" textRotation="90" wrapText="1"/>
    </xf>
    <xf numFmtId="49" fontId="47" fillId="0" borderId="9" xfId="0" applyNumberFormat="1" applyFont="1" applyBorder="1" applyAlignment="1">
      <alignment horizontal="justify" vertical="center" wrapText="1"/>
    </xf>
    <xf numFmtId="49" fontId="47" fillId="0" borderId="6" xfId="0" applyNumberFormat="1" applyFont="1" applyBorder="1" applyAlignment="1">
      <alignment horizontal="justify" vertical="center" wrapText="1"/>
    </xf>
    <xf numFmtId="49" fontId="96" fillId="41" borderId="12" xfId="0" applyNumberFormat="1" applyFont="1" applyFill="1" applyBorder="1" applyAlignment="1">
      <alignment horizontal="justify" vertical="center"/>
    </xf>
    <xf numFmtId="0" fontId="96" fillId="41" borderId="12" xfId="0" applyFont="1" applyFill="1" applyBorder="1" applyAlignment="1">
      <alignment horizontal="justify" vertical="center" wrapText="1"/>
    </xf>
    <xf numFmtId="49" fontId="47" fillId="18" borderId="7" xfId="0" applyNumberFormat="1" applyFont="1" applyFill="1" applyBorder="1" applyAlignment="1">
      <alignment horizontal="justify" vertical="center"/>
    </xf>
    <xf numFmtId="49" fontId="47" fillId="18" borderId="16" xfId="0" applyNumberFormat="1" applyFont="1" applyFill="1" applyBorder="1" applyAlignment="1">
      <alignment horizontal="justify" vertical="center"/>
    </xf>
    <xf numFmtId="166" fontId="83" fillId="0" borderId="18" xfId="0" applyNumberFormat="1" applyFont="1" applyBorder="1" applyAlignment="1">
      <alignment horizontal="justify" vertical="center"/>
    </xf>
    <xf numFmtId="166" fontId="100" fillId="24" borderId="17" xfId="0" applyNumberFormat="1" applyFont="1" applyFill="1" applyBorder="1" applyAlignment="1">
      <alignment horizontal="justify" vertical="center" wrapText="1"/>
    </xf>
    <xf numFmtId="166" fontId="100" fillId="24" borderId="20" xfId="0" applyNumberFormat="1" applyFont="1" applyFill="1" applyBorder="1" applyAlignment="1">
      <alignment horizontal="justify" vertical="center" wrapText="1"/>
    </xf>
    <xf numFmtId="166" fontId="100" fillId="24" borderId="18" xfId="0" applyNumberFormat="1" applyFont="1" applyFill="1" applyBorder="1" applyAlignment="1">
      <alignment horizontal="justify" vertical="center" wrapText="1"/>
    </xf>
    <xf numFmtId="166" fontId="125" fillId="24" borderId="17" xfId="0" applyNumberFormat="1" applyFont="1" applyFill="1" applyBorder="1" applyAlignment="1">
      <alignment horizontal="justify" vertical="center" wrapText="1"/>
    </xf>
    <xf numFmtId="166" fontId="125" fillId="24" borderId="20" xfId="0" applyNumberFormat="1" applyFont="1" applyFill="1" applyBorder="1" applyAlignment="1">
      <alignment horizontal="justify" vertical="center" wrapText="1"/>
    </xf>
    <xf numFmtId="166" fontId="125" fillId="24" borderId="18" xfId="0" applyNumberFormat="1" applyFont="1" applyFill="1" applyBorder="1" applyAlignment="1">
      <alignment horizontal="justify" vertical="center" wrapText="1"/>
    </xf>
    <xf numFmtId="166" fontId="123" fillId="26" borderId="17" xfId="0" applyNumberFormat="1" applyFont="1" applyFill="1" applyBorder="1" applyAlignment="1">
      <alignment horizontal="justify" vertical="center" wrapText="1"/>
    </xf>
    <xf numFmtId="166" fontId="123" fillId="26" borderId="20" xfId="0" applyNumberFormat="1" applyFont="1" applyFill="1" applyBorder="1" applyAlignment="1">
      <alignment horizontal="justify" vertical="center" wrapText="1"/>
    </xf>
    <xf numFmtId="166" fontId="123" fillId="26" borderId="18" xfId="0" applyNumberFormat="1" applyFont="1" applyFill="1" applyBorder="1" applyAlignment="1">
      <alignment horizontal="justify" vertical="center" wrapText="1"/>
    </xf>
    <xf numFmtId="0" fontId="123" fillId="24" borderId="17" xfId="0" applyFont="1" applyFill="1" applyBorder="1" applyAlignment="1">
      <alignment horizontal="justify" vertical="center" wrapText="1"/>
    </xf>
    <xf numFmtId="0" fontId="123" fillId="24" borderId="18" xfId="0" applyFont="1" applyFill="1" applyBorder="1" applyAlignment="1">
      <alignment horizontal="justify" vertical="center" wrapText="1"/>
    </xf>
    <xf numFmtId="0" fontId="97" fillId="5" borderId="17" xfId="0" applyFont="1" applyFill="1" applyBorder="1" applyAlignment="1">
      <alignment horizontal="center" vertical="center" wrapText="1"/>
    </xf>
    <xf numFmtId="0" fontId="97" fillId="5" borderId="18" xfId="0" applyFont="1" applyFill="1" applyBorder="1" applyAlignment="1">
      <alignment horizontal="center" vertical="center" wrapText="1"/>
    </xf>
    <xf numFmtId="0" fontId="48" fillId="24" borderId="12" xfId="0" applyFont="1" applyFill="1" applyBorder="1" applyAlignment="1">
      <alignment horizontal="justify" vertical="center" wrapText="1"/>
    </xf>
    <xf numFmtId="0" fontId="96" fillId="24" borderId="39" xfId="0" applyFont="1" applyFill="1" applyBorder="1" applyAlignment="1">
      <alignment horizontal="justify" vertical="center" wrapText="1"/>
    </xf>
    <xf numFmtId="0" fontId="96" fillId="24" borderId="72" xfId="0" applyFont="1" applyFill="1" applyBorder="1" applyAlignment="1">
      <alignment horizontal="justify" vertical="center" wrapText="1"/>
    </xf>
    <xf numFmtId="0" fontId="96" fillId="24" borderId="37" xfId="0" applyFont="1" applyFill="1" applyBorder="1" applyAlignment="1">
      <alignment horizontal="justify" vertical="center" textRotation="90" wrapText="1"/>
    </xf>
    <xf numFmtId="0" fontId="96" fillId="24" borderId="9" xfId="0" applyFont="1" applyFill="1" applyBorder="1" applyAlignment="1">
      <alignment horizontal="justify" vertical="center" textRotation="90" wrapText="1"/>
    </xf>
    <xf numFmtId="0" fontId="96" fillId="24" borderId="73" xfId="0" applyFont="1" applyFill="1" applyBorder="1" applyAlignment="1">
      <alignment horizontal="justify" vertical="center" wrapText="1"/>
    </xf>
    <xf numFmtId="0" fontId="48" fillId="0" borderId="8" xfId="0" applyFont="1" applyBorder="1" applyAlignment="1">
      <alignment horizontal="justify" vertical="center" textRotation="90" wrapText="1"/>
    </xf>
    <xf numFmtId="49" fontId="96" fillId="20" borderId="17" xfId="0" applyNumberFormat="1" applyFont="1" applyFill="1" applyBorder="1" applyAlignment="1">
      <alignment horizontal="justify" vertical="center" wrapText="1"/>
    </xf>
    <xf numFmtId="49" fontId="96" fillId="20" borderId="20" xfId="0" applyNumberFormat="1" applyFont="1" applyFill="1" applyBorder="1" applyAlignment="1">
      <alignment horizontal="justify" vertical="center"/>
    </xf>
    <xf numFmtId="49" fontId="96" fillId="20" borderId="18" xfId="0" applyNumberFormat="1" applyFont="1" applyFill="1" applyBorder="1" applyAlignment="1">
      <alignment horizontal="justify" vertical="center"/>
    </xf>
    <xf numFmtId="0" fontId="96" fillId="20" borderId="17" xfId="0" applyFont="1" applyFill="1" applyBorder="1" applyAlignment="1">
      <alignment horizontal="justify" vertical="center" wrapText="1"/>
    </xf>
    <xf numFmtId="0" fontId="96" fillId="20" borderId="20" xfId="0" applyFont="1" applyFill="1" applyBorder="1" applyAlignment="1">
      <alignment horizontal="justify" vertical="center" wrapText="1"/>
    </xf>
    <xf numFmtId="0" fontId="96" fillId="20" borderId="18" xfId="0" applyFont="1" applyFill="1" applyBorder="1" applyAlignment="1">
      <alignment horizontal="justify" vertical="center" wrapText="1"/>
    </xf>
    <xf numFmtId="49" fontId="96" fillId="24" borderId="21" xfId="0" applyNumberFormat="1" applyFont="1" applyFill="1" applyBorder="1" applyAlignment="1">
      <alignment horizontal="center" vertical="center" wrapText="1"/>
    </xf>
    <xf numFmtId="49" fontId="96" fillId="24" borderId="19" xfId="0" applyNumberFormat="1" applyFont="1" applyFill="1" applyBorder="1" applyAlignment="1">
      <alignment horizontal="center" vertical="center"/>
    </xf>
    <xf numFmtId="49" fontId="96" fillId="24" borderId="14" xfId="0" applyNumberFormat="1" applyFont="1" applyFill="1" applyBorder="1" applyAlignment="1">
      <alignment horizontal="center" vertical="center"/>
    </xf>
    <xf numFmtId="49" fontId="96" fillId="24" borderId="12" xfId="0" applyNumberFormat="1" applyFont="1" applyFill="1" applyBorder="1" applyAlignment="1">
      <alignment horizontal="center" vertical="center" wrapText="1"/>
    </xf>
    <xf numFmtId="49" fontId="96" fillId="38" borderId="7" xfId="0" applyNumberFormat="1" applyFont="1" applyFill="1" applyBorder="1" applyAlignment="1">
      <alignment horizontal="justify" vertical="center" wrapText="1"/>
    </xf>
    <xf numFmtId="49" fontId="96" fillId="38" borderId="16" xfId="0" applyNumberFormat="1" applyFont="1" applyFill="1" applyBorder="1" applyAlignment="1">
      <alignment horizontal="justify" vertical="center"/>
    </xf>
    <xf numFmtId="49" fontId="96" fillId="38" borderId="9" xfId="0" applyNumberFormat="1" applyFont="1" applyFill="1" applyBorder="1" applyAlignment="1">
      <alignment horizontal="justify" vertical="center"/>
    </xf>
    <xf numFmtId="49" fontId="96" fillId="38" borderId="16" xfId="0" applyNumberFormat="1" applyFont="1" applyFill="1" applyBorder="1" applyAlignment="1">
      <alignment horizontal="justify" vertical="center" wrapText="1"/>
    </xf>
    <xf numFmtId="49" fontId="96" fillId="38" borderId="9" xfId="0" applyNumberFormat="1" applyFont="1" applyFill="1" applyBorder="1" applyAlignment="1">
      <alignment horizontal="justify" vertical="center" wrapText="1"/>
    </xf>
    <xf numFmtId="49" fontId="96" fillId="24" borderId="7" xfId="0" applyNumberFormat="1" applyFont="1" applyFill="1" applyBorder="1" applyAlignment="1">
      <alignment horizontal="justify" vertical="center" wrapText="1"/>
    </xf>
    <xf numFmtId="49" fontId="96" fillId="24" borderId="16" xfId="0" applyNumberFormat="1" applyFont="1" applyFill="1" applyBorder="1" applyAlignment="1">
      <alignment horizontal="justify" vertical="center"/>
    </xf>
    <xf numFmtId="49" fontId="96" fillId="24" borderId="16" xfId="0" applyNumberFormat="1" applyFont="1" applyFill="1" applyBorder="1" applyAlignment="1">
      <alignment horizontal="justify" vertical="center" wrapText="1"/>
    </xf>
    <xf numFmtId="49" fontId="96" fillId="24" borderId="9" xfId="0" applyNumberFormat="1" applyFont="1" applyFill="1" applyBorder="1" applyAlignment="1">
      <alignment horizontal="justify" vertical="center" wrapText="1"/>
    </xf>
    <xf numFmtId="49" fontId="96" fillId="19" borderId="7" xfId="0" applyNumberFormat="1" applyFont="1" applyFill="1" applyBorder="1" applyAlignment="1">
      <alignment horizontal="justify" vertical="center"/>
    </xf>
    <xf numFmtId="49" fontId="96" fillId="19" borderId="16" xfId="0" applyNumberFormat="1" applyFont="1" applyFill="1" applyBorder="1" applyAlignment="1">
      <alignment horizontal="justify" vertical="center"/>
    </xf>
    <xf numFmtId="49" fontId="96" fillId="19" borderId="9" xfId="0" applyNumberFormat="1" applyFont="1" applyFill="1" applyBorder="1" applyAlignment="1">
      <alignment horizontal="justify" vertical="center"/>
    </xf>
    <xf numFmtId="49" fontId="96" fillId="19" borderId="7" xfId="0" applyNumberFormat="1" applyFont="1" applyFill="1" applyBorder="1" applyAlignment="1">
      <alignment horizontal="justify" vertical="center" wrapText="1"/>
    </xf>
    <xf numFmtId="49" fontId="96" fillId="19" borderId="16" xfId="0" applyNumberFormat="1" applyFont="1" applyFill="1" applyBorder="1" applyAlignment="1">
      <alignment horizontal="justify" vertical="center" wrapText="1"/>
    </xf>
    <xf numFmtId="49" fontId="96" fillId="19" borderId="9" xfId="0" applyNumberFormat="1" applyFont="1" applyFill="1" applyBorder="1" applyAlignment="1">
      <alignment horizontal="justify" vertical="center" wrapText="1"/>
    </xf>
    <xf numFmtId="49" fontId="96" fillId="24" borderId="12" xfId="0" applyNumberFormat="1" applyFont="1" applyFill="1" applyBorder="1" applyAlignment="1">
      <alignment horizontal="justify" vertical="center"/>
    </xf>
    <xf numFmtId="49" fontId="96" fillId="20" borderId="12" xfId="0" applyNumberFormat="1" applyFont="1" applyFill="1" applyBorder="1" applyAlignment="1">
      <alignment horizontal="justify" vertical="center" wrapText="1"/>
    </xf>
    <xf numFmtId="49" fontId="96" fillId="20" borderId="12" xfId="0" applyNumberFormat="1" applyFont="1" applyFill="1" applyBorder="1" applyAlignment="1">
      <alignment horizontal="justify" vertical="center"/>
    </xf>
    <xf numFmtId="0" fontId="96" fillId="20" borderId="12" xfId="0" applyFont="1" applyFill="1" applyBorder="1" applyAlignment="1">
      <alignment horizontal="justify" vertical="center" wrapText="1"/>
    </xf>
    <xf numFmtId="49" fontId="96" fillId="24" borderId="66" xfId="0" applyNumberFormat="1" applyFont="1" applyFill="1" applyBorder="1" applyAlignment="1">
      <alignment horizontal="justify" vertical="center"/>
    </xf>
    <xf numFmtId="49" fontId="96" fillId="24" borderId="67" xfId="0" applyNumberFormat="1" applyFont="1" applyFill="1" applyBorder="1" applyAlignment="1">
      <alignment horizontal="justify" vertical="center"/>
    </xf>
    <xf numFmtId="49" fontId="96" fillId="24" borderId="68" xfId="0" applyNumberFormat="1" applyFont="1" applyFill="1" applyBorder="1" applyAlignment="1">
      <alignment horizontal="justify" vertical="center"/>
    </xf>
    <xf numFmtId="49" fontId="96" fillId="38" borderId="17" xfId="0" applyNumberFormat="1" applyFont="1" applyFill="1" applyBorder="1" applyAlignment="1">
      <alignment horizontal="justify" vertical="center" wrapText="1"/>
    </xf>
    <xf numFmtId="49" fontId="96" fillId="38" borderId="20" xfId="0" applyNumberFormat="1" applyFont="1" applyFill="1" applyBorder="1" applyAlignment="1">
      <alignment horizontal="justify" vertical="center"/>
    </xf>
    <xf numFmtId="49" fontId="96" fillId="38" borderId="18" xfId="0" applyNumberFormat="1" applyFont="1" applyFill="1" applyBorder="1" applyAlignment="1">
      <alignment horizontal="justify" vertical="center"/>
    </xf>
    <xf numFmtId="49" fontId="47" fillId="24" borderId="12" xfId="0" applyNumberFormat="1" applyFont="1" applyFill="1" applyBorder="1" applyAlignment="1">
      <alignment horizontal="justify" vertical="center"/>
    </xf>
    <xf numFmtId="0" fontId="96" fillId="38" borderId="17" xfId="0" applyFont="1" applyFill="1" applyBorder="1" applyAlignment="1">
      <alignment horizontal="justify" vertical="center" wrapText="1"/>
    </xf>
    <xf numFmtId="0" fontId="96" fillId="38" borderId="20" xfId="0" applyFont="1" applyFill="1" applyBorder="1" applyAlignment="1">
      <alignment horizontal="justify" vertical="center" wrapText="1"/>
    </xf>
    <xf numFmtId="0" fontId="96" fillId="38" borderId="18" xfId="0" applyFont="1" applyFill="1" applyBorder="1" applyAlignment="1">
      <alignment horizontal="justify" vertical="center" wrapText="1"/>
    </xf>
    <xf numFmtId="0" fontId="96" fillId="24" borderId="7" xfId="0" applyFont="1" applyFill="1" applyBorder="1" applyAlignment="1">
      <alignment horizontal="justify" vertical="center" textRotation="90" wrapText="1"/>
    </xf>
    <xf numFmtId="0" fontId="49" fillId="0" borderId="0" xfId="0" applyFont="1" applyAlignment="1">
      <alignment horizontal="left" vertical="center"/>
    </xf>
    <xf numFmtId="49" fontId="48" fillId="0" borderId="29" xfId="0" applyNumberFormat="1" applyFont="1" applyBorder="1" applyAlignment="1">
      <alignment horizontal="justify" vertical="center" wrapText="1"/>
    </xf>
    <xf numFmtId="49" fontId="48" fillId="0" borderId="13" xfId="0" applyNumberFormat="1" applyFont="1" applyBorder="1" applyAlignment="1">
      <alignment horizontal="justify" vertical="center" wrapText="1"/>
    </xf>
    <xf numFmtId="49" fontId="48" fillId="41" borderId="23" xfId="0" applyNumberFormat="1" applyFont="1" applyFill="1" applyBorder="1" applyAlignment="1">
      <alignment horizontal="justify" vertical="center" wrapText="1"/>
    </xf>
    <xf numFmtId="49" fontId="48" fillId="41" borderId="38" xfId="0" applyNumberFormat="1" applyFont="1" applyFill="1" applyBorder="1" applyAlignment="1">
      <alignment horizontal="justify" vertical="center" wrapText="1"/>
    </xf>
    <xf numFmtId="49" fontId="48" fillId="41" borderId="29" xfId="0" applyNumberFormat="1" applyFont="1" applyFill="1" applyBorder="1" applyAlignment="1">
      <alignment horizontal="justify" vertical="center" wrapText="1"/>
    </xf>
    <xf numFmtId="49" fontId="48" fillId="41" borderId="6" xfId="0" applyNumberFormat="1" applyFont="1" applyFill="1" applyBorder="1" applyAlignment="1">
      <alignment horizontal="justify" vertical="center"/>
    </xf>
    <xf numFmtId="166" fontId="47" fillId="0" borderId="24" xfId="0" applyNumberFormat="1" applyFont="1" applyBorder="1" applyAlignment="1">
      <alignment horizontal="justify" vertical="center"/>
    </xf>
    <xf numFmtId="166" fontId="47" fillId="0" borderId="36" xfId="0" applyNumberFormat="1" applyFont="1" applyBorder="1" applyAlignment="1">
      <alignment horizontal="justify" vertical="center"/>
    </xf>
    <xf numFmtId="166" fontId="47" fillId="0" borderId="25" xfId="0" applyNumberFormat="1" applyFont="1" applyBorder="1" applyAlignment="1">
      <alignment horizontal="justify" vertical="center"/>
    </xf>
    <xf numFmtId="0" fontId="85" fillId="0" borderId="20" xfId="0" applyFont="1" applyBorder="1" applyAlignment="1">
      <alignment horizontal="center" vertical="center" wrapText="1"/>
    </xf>
    <xf numFmtId="49" fontId="48" fillId="0" borderId="24" xfId="0" applyNumberFormat="1" applyFont="1" applyBorder="1" applyAlignment="1">
      <alignment horizontal="justify" vertical="center" wrapText="1"/>
    </xf>
    <xf numFmtId="49" fontId="48" fillId="0" borderId="25" xfId="0" applyNumberFormat="1" applyFont="1" applyBorder="1" applyAlignment="1">
      <alignment horizontal="justify" vertical="center" wrapText="1"/>
    </xf>
    <xf numFmtId="49" fontId="48" fillId="0" borderId="36" xfId="0" applyNumberFormat="1" applyFont="1" applyBorder="1" applyAlignment="1">
      <alignment horizontal="justify" vertical="center" wrapText="1"/>
    </xf>
    <xf numFmtId="49" fontId="48" fillId="41" borderId="13" xfId="0" applyNumberFormat="1" applyFont="1" applyFill="1" applyBorder="1" applyAlignment="1">
      <alignment horizontal="justify" vertical="center" wrapText="1"/>
    </xf>
    <xf numFmtId="49" fontId="96" fillId="24" borderId="24" xfId="0" applyNumberFormat="1" applyFont="1" applyFill="1" applyBorder="1" applyAlignment="1">
      <alignment horizontal="justify" vertical="center" wrapText="1"/>
    </xf>
    <xf numFmtId="49" fontId="96" fillId="24" borderId="36" xfId="0" applyNumberFormat="1" applyFont="1" applyFill="1" applyBorder="1" applyAlignment="1">
      <alignment horizontal="justify" vertical="center" wrapText="1"/>
    </xf>
    <xf numFmtId="49" fontId="96" fillId="24" borderId="25" xfId="0" applyNumberFormat="1" applyFont="1" applyFill="1" applyBorder="1" applyAlignment="1">
      <alignment horizontal="justify" vertical="center" wrapText="1"/>
    </xf>
    <xf numFmtId="49" fontId="96" fillId="11" borderId="12" xfId="0" applyNumberFormat="1" applyFont="1" applyFill="1" applyBorder="1" applyAlignment="1">
      <alignment horizontal="justify" vertical="center" wrapText="1"/>
    </xf>
    <xf numFmtId="49" fontId="96" fillId="11" borderId="24" xfId="0" applyNumberFormat="1" applyFont="1" applyFill="1" applyBorder="1" applyAlignment="1">
      <alignment horizontal="justify" vertical="center" wrapText="1"/>
    </xf>
    <xf numFmtId="49" fontId="96" fillId="11" borderId="36" xfId="0" applyNumberFormat="1" applyFont="1" applyFill="1" applyBorder="1" applyAlignment="1">
      <alignment horizontal="justify" vertical="center" wrapText="1"/>
    </xf>
    <xf numFmtId="49" fontId="96" fillId="11" borderId="25" xfId="0" applyNumberFormat="1" applyFont="1" applyFill="1" applyBorder="1" applyAlignment="1">
      <alignment horizontal="justify" vertical="center" wrapText="1"/>
    </xf>
    <xf numFmtId="49" fontId="96" fillId="18" borderId="12" xfId="0" applyNumberFormat="1" applyFont="1" applyFill="1" applyBorder="1" applyAlignment="1">
      <alignment horizontal="justify" vertical="center" wrapText="1"/>
    </xf>
    <xf numFmtId="49" fontId="96" fillId="18" borderId="24" xfId="0" applyNumberFormat="1" applyFont="1" applyFill="1" applyBorder="1" applyAlignment="1">
      <alignment horizontal="justify" vertical="center" wrapText="1"/>
    </xf>
    <xf numFmtId="49" fontId="96" fillId="18" borderId="36" xfId="0" applyNumberFormat="1" applyFont="1" applyFill="1" applyBorder="1" applyAlignment="1">
      <alignment horizontal="justify" vertical="center" wrapText="1"/>
    </xf>
    <xf numFmtId="49" fontId="96" fillId="18" borderId="25" xfId="0" applyNumberFormat="1" applyFont="1" applyFill="1" applyBorder="1" applyAlignment="1">
      <alignment horizontal="justify" vertical="center" wrapText="1"/>
    </xf>
    <xf numFmtId="166" fontId="49" fillId="24" borderId="24" xfId="0" applyNumberFormat="1" applyFont="1" applyFill="1" applyBorder="1" applyAlignment="1">
      <alignment horizontal="justify" vertical="center"/>
    </xf>
    <xf numFmtId="166" fontId="49" fillId="24" borderId="36" xfId="0" applyNumberFormat="1" applyFont="1" applyFill="1" applyBorder="1" applyAlignment="1">
      <alignment horizontal="justify" vertical="center"/>
    </xf>
    <xf numFmtId="166" fontId="49" fillId="24" borderId="25" xfId="0" applyNumberFormat="1" applyFont="1" applyFill="1" applyBorder="1" applyAlignment="1">
      <alignment horizontal="justify" vertical="center"/>
    </xf>
    <xf numFmtId="166" fontId="96" fillId="24" borderId="12" xfId="0" applyNumberFormat="1" applyFont="1" applyFill="1" applyBorder="1" applyAlignment="1">
      <alignment horizontal="justify" vertical="center" wrapText="1"/>
    </xf>
    <xf numFmtId="166" fontId="96" fillId="24" borderId="12" xfId="0" applyNumberFormat="1" applyFont="1" applyFill="1" applyBorder="1" applyAlignment="1">
      <alignment horizontal="justify" vertical="center"/>
    </xf>
    <xf numFmtId="0" fontId="47" fillId="41" borderId="9" xfId="0" applyFont="1" applyFill="1" applyBorder="1" applyAlignment="1">
      <alignment horizontal="justify" vertical="center" wrapText="1"/>
    </xf>
    <xf numFmtId="0" fontId="47" fillId="41" borderId="7" xfId="0" applyFont="1" applyFill="1" applyBorder="1" applyAlignment="1">
      <alignment horizontal="justify" vertical="center" wrapText="1"/>
    </xf>
    <xf numFmtId="0" fontId="48" fillId="41" borderId="9" xfId="0" applyFont="1" applyFill="1" applyBorder="1" applyAlignment="1">
      <alignment horizontal="justify" vertical="center" textRotation="90" wrapText="1"/>
    </xf>
    <xf numFmtId="0" fontId="48" fillId="41" borderId="7" xfId="0" applyFont="1" applyFill="1" applyBorder="1" applyAlignment="1">
      <alignment horizontal="justify" vertical="center" textRotation="90" wrapText="1"/>
    </xf>
    <xf numFmtId="0" fontId="47" fillId="42" borderId="6" xfId="0" applyFont="1" applyFill="1" applyBorder="1" applyAlignment="1">
      <alignment horizontal="justify" vertical="center" wrapText="1"/>
    </xf>
    <xf numFmtId="166" fontId="47" fillId="41" borderId="24" xfId="0" applyNumberFormat="1" applyFont="1" applyFill="1" applyBorder="1" applyAlignment="1">
      <alignment horizontal="justify" vertical="center"/>
    </xf>
    <xf numFmtId="166" fontId="47" fillId="41" borderId="36" xfId="0" applyNumberFormat="1" applyFont="1" applyFill="1" applyBorder="1" applyAlignment="1">
      <alignment horizontal="justify" vertical="center"/>
    </xf>
    <xf numFmtId="166" fontId="47" fillId="41" borderId="25" xfId="0" applyNumberFormat="1" applyFont="1" applyFill="1" applyBorder="1" applyAlignment="1">
      <alignment horizontal="justify" vertical="center"/>
    </xf>
    <xf numFmtId="166" fontId="48" fillId="41" borderId="12" xfId="0" applyNumberFormat="1" applyFont="1" applyFill="1" applyBorder="1" applyAlignment="1">
      <alignment horizontal="justify" vertical="center" wrapText="1"/>
    </xf>
    <xf numFmtId="166" fontId="48" fillId="41" borderId="12" xfId="0" applyNumberFormat="1" applyFont="1" applyFill="1" applyBorder="1" applyAlignment="1">
      <alignment horizontal="justify" vertical="center"/>
    </xf>
    <xf numFmtId="49" fontId="48" fillId="11" borderId="9" xfId="0" applyNumberFormat="1" applyFont="1" applyFill="1" applyBorder="1" applyAlignment="1">
      <alignment horizontal="justify" vertical="center"/>
    </xf>
    <xf numFmtId="49" fontId="48" fillId="11" borderId="6" xfId="0" applyNumberFormat="1" applyFont="1" applyFill="1" applyBorder="1" applyAlignment="1">
      <alignment horizontal="justify" vertical="center"/>
    </xf>
    <xf numFmtId="49" fontId="48" fillId="18" borderId="9" xfId="0" applyNumberFormat="1" applyFont="1" applyFill="1" applyBorder="1" applyAlignment="1">
      <alignment horizontal="justify" vertical="center"/>
    </xf>
    <xf numFmtId="49" fontId="48" fillId="18" borderId="6" xfId="0" applyNumberFormat="1" applyFont="1" applyFill="1" applyBorder="1" applyAlignment="1">
      <alignment horizontal="justify" vertical="center"/>
    </xf>
    <xf numFmtId="49" fontId="96" fillId="11" borderId="18" xfId="0" applyNumberFormat="1" applyFont="1" applyFill="1" applyBorder="1" applyAlignment="1">
      <alignment horizontal="justify" vertical="center" wrapText="1"/>
    </xf>
    <xf numFmtId="49" fontId="96" fillId="11" borderId="18" xfId="0" applyNumberFormat="1" applyFont="1" applyFill="1" applyBorder="1" applyAlignment="1">
      <alignment horizontal="justify" vertical="center" textRotation="90"/>
    </xf>
    <xf numFmtId="49" fontId="96" fillId="11" borderId="12" xfId="0" applyNumberFormat="1" applyFont="1" applyFill="1" applyBorder="1" applyAlignment="1">
      <alignment horizontal="justify" vertical="center" textRotation="90"/>
    </xf>
    <xf numFmtId="166" fontId="49" fillId="11" borderId="24" xfId="0" applyNumberFormat="1" applyFont="1" applyFill="1" applyBorder="1" applyAlignment="1">
      <alignment horizontal="justify" vertical="center"/>
    </xf>
    <xf numFmtId="166" fontId="49" fillId="11" borderId="36" xfId="0" applyNumberFormat="1" applyFont="1" applyFill="1" applyBorder="1" applyAlignment="1">
      <alignment horizontal="justify" vertical="center"/>
    </xf>
    <xf numFmtId="166" fontId="49" fillId="11" borderId="25" xfId="0" applyNumberFormat="1" applyFont="1" applyFill="1" applyBorder="1" applyAlignment="1">
      <alignment horizontal="justify" vertical="center"/>
    </xf>
    <xf numFmtId="166" fontId="96" fillId="11" borderId="12" xfId="0" applyNumberFormat="1" applyFont="1" applyFill="1" applyBorder="1" applyAlignment="1">
      <alignment horizontal="justify" vertical="center" wrapText="1"/>
    </xf>
    <xf numFmtId="166" fontId="96" fillId="11" borderId="12" xfId="0" applyNumberFormat="1" applyFont="1" applyFill="1" applyBorder="1" applyAlignment="1">
      <alignment horizontal="justify" vertical="center"/>
    </xf>
    <xf numFmtId="0" fontId="47" fillId="4" borderId="82" xfId="0" applyFont="1" applyFill="1" applyBorder="1" applyAlignment="1">
      <alignment horizontal="justify" vertical="center" wrapText="1"/>
    </xf>
    <xf numFmtId="0" fontId="47" fillId="4" borderId="19" xfId="0" applyFont="1" applyFill="1" applyBorder="1" applyAlignment="1">
      <alignment horizontal="justify" vertical="center" wrapText="1"/>
    </xf>
    <xf numFmtId="0" fontId="47" fillId="4" borderId="14" xfId="0" applyFont="1" applyFill="1" applyBorder="1" applyAlignment="1">
      <alignment horizontal="justify" vertical="center" wrapText="1"/>
    </xf>
    <xf numFmtId="0" fontId="48" fillId="42" borderId="6" xfId="0" applyFont="1" applyFill="1" applyBorder="1" applyAlignment="1">
      <alignment horizontal="justify" vertical="center" textRotation="90" wrapText="1"/>
    </xf>
    <xf numFmtId="49" fontId="48" fillId="24" borderId="9" xfId="0" applyNumberFormat="1" applyFont="1" applyFill="1" applyBorder="1" applyAlignment="1">
      <alignment horizontal="justify" vertical="center"/>
    </xf>
    <xf numFmtId="49" fontId="48" fillId="24" borderId="6" xfId="0" applyNumberFormat="1" applyFont="1" applyFill="1" applyBorder="1" applyAlignment="1">
      <alignment horizontal="justify" vertical="center"/>
    </xf>
    <xf numFmtId="49" fontId="48" fillId="24" borderId="12" xfId="0" applyNumberFormat="1" applyFont="1" applyFill="1" applyBorder="1" applyAlignment="1">
      <alignment horizontal="justify" vertical="center"/>
    </xf>
    <xf numFmtId="49" fontId="47" fillId="41" borderId="18" xfId="0" applyNumberFormat="1" applyFont="1" applyFill="1" applyBorder="1" applyAlignment="1">
      <alignment horizontal="justify" vertical="center" wrapText="1"/>
    </xf>
    <xf numFmtId="49" fontId="47" fillId="41" borderId="12" xfId="0" applyNumberFormat="1" applyFont="1" applyFill="1" applyBorder="1" applyAlignment="1">
      <alignment horizontal="justify" vertical="center" wrapText="1"/>
    </xf>
    <xf numFmtId="49" fontId="48" fillId="41" borderId="18" xfId="0" applyNumberFormat="1" applyFont="1" applyFill="1" applyBorder="1" applyAlignment="1">
      <alignment horizontal="justify" vertical="center" textRotation="90"/>
    </xf>
    <xf numFmtId="49" fontId="48" fillId="41" borderId="12" xfId="0" applyNumberFormat="1" applyFont="1" applyFill="1" applyBorder="1" applyAlignment="1">
      <alignment horizontal="justify" vertical="center" textRotation="90"/>
    </xf>
    <xf numFmtId="0" fontId="47" fillId="14" borderId="17" xfId="0" applyFont="1" applyFill="1" applyBorder="1" applyAlignment="1">
      <alignment horizontal="justify" vertical="center"/>
    </xf>
    <xf numFmtId="0" fontId="47" fillId="14" borderId="20" xfId="0" applyFont="1" applyFill="1" applyBorder="1" applyAlignment="1">
      <alignment horizontal="justify" vertical="center"/>
    </xf>
    <xf numFmtId="0" fontId="47" fillId="14" borderId="18" xfId="0" applyFont="1" applyFill="1" applyBorder="1" applyAlignment="1">
      <alignment horizontal="justify" vertical="center"/>
    </xf>
    <xf numFmtId="166" fontId="84" fillId="14" borderId="17" xfId="0" applyNumberFormat="1" applyFont="1" applyFill="1" applyBorder="1" applyAlignment="1">
      <alignment horizontal="justify" vertical="center"/>
    </xf>
    <xf numFmtId="166" fontId="84" fillId="14" borderId="20" xfId="0" applyNumberFormat="1" applyFont="1" applyFill="1" applyBorder="1" applyAlignment="1">
      <alignment horizontal="justify" vertical="center"/>
    </xf>
    <xf numFmtId="166" fontId="84" fillId="14" borderId="18" xfId="0" applyNumberFormat="1" applyFont="1" applyFill="1" applyBorder="1" applyAlignment="1">
      <alignment horizontal="justify" vertical="center"/>
    </xf>
    <xf numFmtId="9" fontId="84" fillId="14" borderId="17" xfId="22" applyFont="1" applyFill="1" applyBorder="1" applyAlignment="1">
      <alignment horizontal="justify" vertical="center"/>
    </xf>
    <xf numFmtId="9" fontId="84" fillId="14" borderId="20" xfId="22" applyFont="1" applyFill="1" applyBorder="1" applyAlignment="1">
      <alignment horizontal="justify" vertical="center"/>
    </xf>
    <xf numFmtId="9" fontId="84" fillId="14" borderId="18" xfId="22" applyFont="1" applyFill="1" applyBorder="1" applyAlignment="1">
      <alignment horizontal="justify" vertical="center"/>
    </xf>
    <xf numFmtId="166" fontId="47" fillId="14" borderId="12" xfId="0" applyNumberFormat="1" applyFont="1" applyFill="1" applyBorder="1" applyAlignment="1">
      <alignment horizontal="justify" vertical="center"/>
    </xf>
    <xf numFmtId="0" fontId="47" fillId="0" borderId="78" xfId="0" applyFont="1" applyBorder="1" applyAlignment="1">
      <alignment horizontal="center" vertical="center" textRotation="90" wrapText="1"/>
    </xf>
    <xf numFmtId="0" fontId="47" fillId="0" borderId="38" xfId="0" applyFont="1" applyBorder="1" applyAlignment="1">
      <alignment horizontal="center" vertical="center" textRotation="90" wrapText="1"/>
    </xf>
    <xf numFmtId="0" fontId="84" fillId="5" borderId="24" xfId="0" applyFont="1" applyFill="1" applyBorder="1" applyAlignment="1">
      <alignment horizontal="center" vertical="center" wrapText="1"/>
    </xf>
    <xf numFmtId="0" fontId="84" fillId="5" borderId="36" xfId="0" applyFont="1" applyFill="1" applyBorder="1" applyAlignment="1">
      <alignment horizontal="center" vertical="center" wrapText="1"/>
    </xf>
    <xf numFmtId="49" fontId="48" fillId="0" borderId="68" xfId="0" applyNumberFormat="1" applyFont="1" applyBorder="1" applyAlignment="1">
      <alignment horizontal="justify" vertical="center"/>
    </xf>
    <xf numFmtId="49" fontId="48" fillId="0" borderId="67" xfId="0" applyNumberFormat="1" applyFont="1" applyBorder="1" applyAlignment="1">
      <alignment horizontal="justify" vertical="center"/>
    </xf>
    <xf numFmtId="9" fontId="47" fillId="14" borderId="17" xfId="22" applyFont="1" applyFill="1" applyBorder="1" applyAlignment="1">
      <alignment horizontal="justify" vertical="center"/>
    </xf>
    <xf numFmtId="9" fontId="47" fillId="14" borderId="20" xfId="22" applyFont="1" applyFill="1" applyBorder="1" applyAlignment="1">
      <alignment horizontal="justify" vertical="center"/>
    </xf>
    <xf numFmtId="9" fontId="47" fillId="14" borderId="18" xfId="22" applyFont="1" applyFill="1" applyBorder="1" applyAlignment="1">
      <alignment horizontal="justify" vertical="center"/>
    </xf>
    <xf numFmtId="166" fontId="83" fillId="14" borderId="17" xfId="0" applyNumberFormat="1" applyFont="1" applyFill="1" applyBorder="1" applyAlignment="1">
      <alignment horizontal="justify" vertical="center"/>
    </xf>
    <xf numFmtId="166" fontId="83" fillId="14" borderId="20" xfId="0" applyNumberFormat="1" applyFont="1" applyFill="1" applyBorder="1" applyAlignment="1">
      <alignment horizontal="justify" vertical="center"/>
    </xf>
    <xf numFmtId="166" fontId="83" fillId="14" borderId="18" xfId="0" applyNumberFormat="1" applyFont="1" applyFill="1" applyBorder="1" applyAlignment="1">
      <alignment horizontal="justify" vertical="center"/>
    </xf>
    <xf numFmtId="49" fontId="47" fillId="41" borderId="24" xfId="0" applyNumberFormat="1" applyFont="1" applyFill="1" applyBorder="1" applyAlignment="1">
      <alignment horizontal="justify" vertical="center" wrapText="1"/>
    </xf>
    <xf numFmtId="49" fontId="47" fillId="41" borderId="36" xfId="0" applyNumberFormat="1" applyFont="1" applyFill="1" applyBorder="1" applyAlignment="1">
      <alignment horizontal="justify" vertical="center" wrapText="1"/>
    </xf>
    <xf numFmtId="49" fontId="47" fillId="41" borderId="25" xfId="0" applyNumberFormat="1" applyFont="1" applyFill="1" applyBorder="1" applyAlignment="1">
      <alignment horizontal="justify" vertical="center" wrapText="1"/>
    </xf>
    <xf numFmtId="49" fontId="96" fillId="11" borderId="29" xfId="0" applyNumberFormat="1" applyFont="1" applyFill="1" applyBorder="1" applyAlignment="1">
      <alignment horizontal="justify" vertical="center" wrapText="1"/>
    </xf>
    <xf numFmtId="49" fontId="96" fillId="11" borderId="13" xfId="0" applyNumberFormat="1" applyFont="1" applyFill="1" applyBorder="1" applyAlignment="1">
      <alignment horizontal="justify" vertical="center" wrapText="1"/>
    </xf>
    <xf numFmtId="49" fontId="96" fillId="18" borderId="18" xfId="0" applyNumberFormat="1" applyFont="1" applyFill="1" applyBorder="1" applyAlignment="1">
      <alignment horizontal="justify" vertical="center" wrapText="1"/>
    </xf>
    <xf numFmtId="49" fontId="96" fillId="18" borderId="18" xfId="0" applyNumberFormat="1" applyFont="1" applyFill="1" applyBorder="1" applyAlignment="1">
      <alignment horizontal="justify" vertical="center" textRotation="90"/>
    </xf>
    <xf numFmtId="49" fontId="96" fillId="18" borderId="12" xfId="0" applyNumberFormat="1" applyFont="1" applyFill="1" applyBorder="1" applyAlignment="1">
      <alignment horizontal="justify" vertical="center" textRotation="90"/>
    </xf>
    <xf numFmtId="166" fontId="49" fillId="18" borderId="24" xfId="0" applyNumberFormat="1" applyFont="1" applyFill="1" applyBorder="1" applyAlignment="1">
      <alignment horizontal="justify" vertical="center"/>
    </xf>
    <xf numFmtId="166" fontId="49" fillId="18" borderId="36" xfId="0" applyNumberFormat="1" applyFont="1" applyFill="1" applyBorder="1" applyAlignment="1">
      <alignment horizontal="justify" vertical="center"/>
    </xf>
    <xf numFmtId="166" fontId="49" fillId="18" borderId="25" xfId="0" applyNumberFormat="1" applyFont="1" applyFill="1" applyBorder="1" applyAlignment="1">
      <alignment horizontal="justify" vertical="center"/>
    </xf>
    <xf numFmtId="166" fontId="96" fillId="18" borderId="12" xfId="0" applyNumberFormat="1" applyFont="1" applyFill="1" applyBorder="1" applyAlignment="1">
      <alignment horizontal="justify" vertical="center" wrapText="1"/>
    </xf>
    <xf numFmtId="166" fontId="96" fillId="18" borderId="12" xfId="0" applyNumberFormat="1" applyFont="1" applyFill="1" applyBorder="1" applyAlignment="1">
      <alignment horizontal="justify" vertical="center"/>
    </xf>
    <xf numFmtId="49" fontId="96" fillId="18" borderId="29" xfId="0" applyNumberFormat="1" applyFont="1" applyFill="1" applyBorder="1" applyAlignment="1">
      <alignment horizontal="justify" vertical="center" wrapText="1"/>
    </xf>
    <xf numFmtId="49" fontId="96" fillId="18" borderId="13" xfId="0" applyNumberFormat="1" applyFont="1" applyFill="1" applyBorder="1" applyAlignment="1">
      <alignment horizontal="justify" vertical="center" wrapText="1"/>
    </xf>
    <xf numFmtId="49" fontId="96" fillId="24" borderId="29" xfId="0" applyNumberFormat="1" applyFont="1" applyFill="1" applyBorder="1" applyAlignment="1">
      <alignment horizontal="justify" vertical="center" wrapText="1"/>
    </xf>
    <xf numFmtId="49" fontId="96" fillId="24" borderId="13" xfId="0" applyNumberFormat="1" applyFont="1" applyFill="1" applyBorder="1" applyAlignment="1">
      <alignment horizontal="justify" vertical="center" wrapText="1"/>
    </xf>
    <xf numFmtId="49" fontId="48" fillId="18" borderId="9" xfId="0" applyNumberFormat="1" applyFont="1" applyFill="1" applyBorder="1" applyAlignment="1">
      <alignment horizontal="left" vertical="center"/>
    </xf>
    <xf numFmtId="49" fontId="48" fillId="18" borderId="7" xfId="0" applyNumberFormat="1" applyFont="1" applyFill="1" applyBorder="1" applyAlignment="1">
      <alignment horizontal="left" vertical="center"/>
    </xf>
    <xf numFmtId="49" fontId="96" fillId="18" borderId="18" xfId="0" applyNumberFormat="1" applyFont="1" applyFill="1" applyBorder="1" applyAlignment="1">
      <alignment horizontal="left" vertical="center" wrapText="1"/>
    </xf>
    <xf numFmtId="49" fontId="96" fillId="18" borderId="17" xfId="0" applyNumberFormat="1" applyFont="1" applyFill="1" applyBorder="1" applyAlignment="1">
      <alignment horizontal="left" vertical="center" wrapText="1"/>
    </xf>
    <xf numFmtId="49" fontId="96" fillId="18" borderId="18" xfId="0" applyNumberFormat="1" applyFont="1" applyFill="1" applyBorder="1" applyAlignment="1">
      <alignment horizontal="left" vertical="center" textRotation="90"/>
    </xf>
    <xf numFmtId="49" fontId="96" fillId="18" borderId="17" xfId="0" applyNumberFormat="1" applyFont="1" applyFill="1" applyBorder="1" applyAlignment="1">
      <alignment horizontal="left" vertical="center" textRotation="90"/>
    </xf>
    <xf numFmtId="166" fontId="49" fillId="18" borderId="24" xfId="0" applyNumberFormat="1" applyFont="1" applyFill="1" applyBorder="1" applyAlignment="1">
      <alignment horizontal="left" vertical="center"/>
    </xf>
    <xf numFmtId="166" fontId="49" fillId="18" borderId="36" xfId="0" applyNumberFormat="1" applyFont="1" applyFill="1" applyBorder="1" applyAlignment="1">
      <alignment horizontal="left" vertical="center"/>
    </xf>
    <xf numFmtId="166" fontId="49" fillId="18" borderId="25" xfId="0" applyNumberFormat="1" applyFont="1" applyFill="1" applyBorder="1" applyAlignment="1">
      <alignment horizontal="left" vertical="center"/>
    </xf>
    <xf numFmtId="166" fontId="96" fillId="18" borderId="12" xfId="0" applyNumberFormat="1" applyFont="1" applyFill="1" applyBorder="1" applyAlignment="1">
      <alignment horizontal="left" vertical="center" wrapText="1"/>
    </xf>
    <xf numFmtId="166" fontId="96" fillId="18" borderId="12" xfId="0" applyNumberFormat="1" applyFont="1" applyFill="1" applyBorder="1" applyAlignment="1">
      <alignment horizontal="left" vertical="center"/>
    </xf>
    <xf numFmtId="49" fontId="48" fillId="44" borderId="7" xfId="0" applyNumberFormat="1" applyFont="1" applyFill="1" applyBorder="1" applyAlignment="1">
      <alignment horizontal="center" vertical="center"/>
    </xf>
    <xf numFmtId="49" fontId="48" fillId="44" borderId="16" xfId="0" applyNumberFormat="1" applyFont="1" applyFill="1" applyBorder="1" applyAlignment="1">
      <alignment horizontal="center" vertical="center"/>
    </xf>
    <xf numFmtId="49" fontId="48" fillId="44" borderId="9" xfId="0" applyNumberFormat="1" applyFont="1" applyFill="1" applyBorder="1" applyAlignment="1">
      <alignment horizontal="center" vertical="center"/>
    </xf>
    <xf numFmtId="166" fontId="49" fillId="44" borderId="17" xfId="0" applyNumberFormat="1" applyFont="1" applyFill="1" applyBorder="1" applyAlignment="1">
      <alignment horizontal="left" vertical="center"/>
    </xf>
    <xf numFmtId="166" fontId="49" fillId="44" borderId="20" xfId="0" applyNumberFormat="1" applyFont="1" applyFill="1" applyBorder="1" applyAlignment="1">
      <alignment horizontal="left" vertical="center"/>
    </xf>
    <xf numFmtId="166" fontId="49" fillId="44" borderId="18" xfId="0" applyNumberFormat="1" applyFont="1" applyFill="1" applyBorder="1" applyAlignment="1">
      <alignment horizontal="left" vertical="center"/>
    </xf>
    <xf numFmtId="166" fontId="96" fillId="44" borderId="12" xfId="0" applyNumberFormat="1" applyFont="1" applyFill="1" applyBorder="1" applyAlignment="1">
      <alignment horizontal="left" vertical="center" wrapText="1"/>
    </xf>
    <xf numFmtId="166" fontId="96" fillId="44" borderId="12" xfId="0" applyNumberFormat="1" applyFont="1" applyFill="1" applyBorder="1" applyAlignment="1">
      <alignment horizontal="left" vertical="center"/>
    </xf>
    <xf numFmtId="49" fontId="48" fillId="24" borderId="9" xfId="0" applyNumberFormat="1" applyFont="1" applyFill="1" applyBorder="1" applyAlignment="1">
      <alignment horizontal="left" vertical="center"/>
    </xf>
    <xf numFmtId="49" fontId="48" fillId="24" borderId="6" xfId="0" applyNumberFormat="1" applyFont="1" applyFill="1" applyBorder="1" applyAlignment="1">
      <alignment horizontal="left" vertical="center"/>
    </xf>
    <xf numFmtId="49" fontId="96" fillId="24" borderId="12" xfId="0" applyNumberFormat="1" applyFont="1" applyFill="1" applyBorder="1" applyAlignment="1">
      <alignment horizontal="left" vertical="center" wrapText="1"/>
    </xf>
    <xf numFmtId="49" fontId="96" fillId="24" borderId="18" xfId="0" applyNumberFormat="1" applyFont="1" applyFill="1" applyBorder="1" applyAlignment="1">
      <alignment horizontal="left" vertical="center" textRotation="90"/>
    </xf>
    <xf numFmtId="49" fontId="96" fillId="24" borderId="12" xfId="0" applyNumberFormat="1" applyFont="1" applyFill="1" applyBorder="1" applyAlignment="1">
      <alignment horizontal="left" vertical="center" textRotation="90"/>
    </xf>
    <xf numFmtId="166" fontId="49" fillId="24" borderId="24" xfId="0" applyNumberFormat="1" applyFont="1" applyFill="1" applyBorder="1" applyAlignment="1">
      <alignment horizontal="left" vertical="center"/>
    </xf>
    <xf numFmtId="166" fontId="49" fillId="24" borderId="36" xfId="0" applyNumberFormat="1" applyFont="1" applyFill="1" applyBorder="1" applyAlignment="1">
      <alignment horizontal="left" vertical="center"/>
    </xf>
    <xf numFmtId="166" fontId="49" fillId="24" borderId="25" xfId="0" applyNumberFormat="1" applyFont="1" applyFill="1" applyBorder="1" applyAlignment="1">
      <alignment horizontal="left" vertical="center"/>
    </xf>
    <xf numFmtId="166" fontId="96" fillId="24" borderId="12" xfId="0" applyNumberFormat="1" applyFont="1" applyFill="1" applyBorder="1" applyAlignment="1">
      <alignment horizontal="left" vertical="center" wrapText="1"/>
    </xf>
    <xf numFmtId="166" fontId="96" fillId="24" borderId="12" xfId="0" applyNumberFormat="1" applyFont="1" applyFill="1" applyBorder="1" applyAlignment="1">
      <alignment horizontal="left" vertical="center"/>
    </xf>
    <xf numFmtId="49" fontId="96" fillId="44" borderId="66" xfId="0" applyNumberFormat="1" applyFont="1" applyFill="1" applyBorder="1" applyAlignment="1">
      <alignment horizontal="left" vertical="center" wrapText="1"/>
    </xf>
    <xf numFmtId="49" fontId="96" fillId="44" borderId="69" xfId="0" applyNumberFormat="1" applyFont="1" applyFill="1" applyBorder="1" applyAlignment="1">
      <alignment horizontal="left" vertical="center" wrapText="1"/>
    </xf>
    <xf numFmtId="49" fontId="96" fillId="44" borderId="76" xfId="0" applyNumberFormat="1" applyFont="1" applyFill="1" applyBorder="1" applyAlignment="1">
      <alignment horizontal="left" vertical="center" wrapText="1"/>
    </xf>
    <xf numFmtId="49" fontId="48" fillId="41" borderId="7" xfId="0" applyNumberFormat="1" applyFont="1" applyFill="1" applyBorder="1" applyAlignment="1">
      <alignment horizontal="justify" vertical="center"/>
    </xf>
    <xf numFmtId="49" fontId="48" fillId="41" borderId="9" xfId="0" applyNumberFormat="1" applyFont="1" applyFill="1" applyBorder="1" applyAlignment="1">
      <alignment horizontal="justify" vertical="center"/>
    </xf>
    <xf numFmtId="49" fontId="96" fillId="24" borderId="20" xfId="0" applyNumberFormat="1" applyFont="1" applyFill="1" applyBorder="1" applyAlignment="1">
      <alignment horizontal="justify" vertical="center" wrapText="1"/>
    </xf>
    <xf numFmtId="49" fontId="96" fillId="11" borderId="17" xfId="0" applyNumberFormat="1" applyFont="1" applyFill="1" applyBorder="1" applyAlignment="1">
      <alignment horizontal="justify" vertical="center" wrapText="1"/>
    </xf>
    <xf numFmtId="49" fontId="96" fillId="11" borderId="20" xfId="0" applyNumberFormat="1" applyFont="1" applyFill="1" applyBorder="1" applyAlignment="1">
      <alignment horizontal="justify" vertical="center" wrapText="1"/>
    </xf>
    <xf numFmtId="49" fontId="96" fillId="18" borderId="17" xfId="0" applyNumberFormat="1" applyFont="1" applyFill="1" applyBorder="1" applyAlignment="1">
      <alignment horizontal="justify" vertical="center" wrapText="1"/>
    </xf>
    <xf numFmtId="49" fontId="96" fillId="18" borderId="20" xfId="0" applyNumberFormat="1" applyFont="1" applyFill="1" applyBorder="1" applyAlignment="1">
      <alignment horizontal="justify" vertical="center" wrapText="1"/>
    </xf>
    <xf numFmtId="49" fontId="48" fillId="0" borderId="21" xfId="0" applyNumberFormat="1" applyFont="1" applyBorder="1" applyAlignment="1">
      <alignment horizontal="justify" vertical="center"/>
    </xf>
    <xf numFmtId="49" fontId="48" fillId="0" borderId="19" xfId="0" applyNumberFormat="1" applyFont="1" applyBorder="1" applyAlignment="1">
      <alignment horizontal="justify" vertical="center"/>
    </xf>
    <xf numFmtId="49" fontId="48" fillId="44" borderId="9" xfId="0" applyNumberFormat="1" applyFont="1" applyFill="1" applyBorder="1" applyAlignment="1">
      <alignment horizontal="justify" vertical="center"/>
    </xf>
    <xf numFmtId="49" fontId="48" fillId="44" borderId="6" xfId="0" applyNumberFormat="1" applyFont="1" applyFill="1" applyBorder="1" applyAlignment="1">
      <alignment horizontal="justify" vertical="center"/>
    </xf>
    <xf numFmtId="49" fontId="96" fillId="44" borderId="18" xfId="0" applyNumberFormat="1" applyFont="1" applyFill="1" applyBorder="1" applyAlignment="1">
      <alignment horizontal="justify" vertical="center" wrapText="1"/>
    </xf>
    <xf numFmtId="49" fontId="96" fillId="44" borderId="12" xfId="0" applyNumberFormat="1" applyFont="1" applyFill="1" applyBorder="1" applyAlignment="1">
      <alignment horizontal="justify" vertical="center" wrapText="1"/>
    </xf>
    <xf numFmtId="49" fontId="96" fillId="44" borderId="18" xfId="0" applyNumberFormat="1" applyFont="1" applyFill="1" applyBorder="1" applyAlignment="1">
      <alignment horizontal="justify" vertical="center" textRotation="90"/>
    </xf>
    <xf numFmtId="49" fontId="96" fillId="44" borderId="12" xfId="0" applyNumberFormat="1" applyFont="1" applyFill="1" applyBorder="1" applyAlignment="1">
      <alignment horizontal="justify" vertical="center" textRotation="90"/>
    </xf>
    <xf numFmtId="166" fontId="49" fillId="44" borderId="24" xfId="0" applyNumberFormat="1" applyFont="1" applyFill="1" applyBorder="1" applyAlignment="1">
      <alignment horizontal="justify" vertical="center"/>
    </xf>
    <xf numFmtId="166" fontId="49" fillId="44" borderId="36" xfId="0" applyNumberFormat="1" applyFont="1" applyFill="1" applyBorder="1" applyAlignment="1">
      <alignment horizontal="justify" vertical="center"/>
    </xf>
    <xf numFmtId="166" fontId="49" fillId="44" borderId="25" xfId="0" applyNumberFormat="1" applyFont="1" applyFill="1" applyBorder="1" applyAlignment="1">
      <alignment horizontal="justify" vertical="center"/>
    </xf>
    <xf numFmtId="166" fontId="96" fillId="44" borderId="12" xfId="0" applyNumberFormat="1" applyFont="1" applyFill="1" applyBorder="1" applyAlignment="1">
      <alignment horizontal="justify" vertical="center" wrapText="1"/>
    </xf>
    <xf numFmtId="166" fontId="96" fillId="44" borderId="12" xfId="0" applyNumberFormat="1" applyFont="1" applyFill="1" applyBorder="1" applyAlignment="1">
      <alignment horizontal="justify" vertical="center"/>
    </xf>
    <xf numFmtId="166" fontId="96" fillId="11" borderId="17" xfId="0" applyNumberFormat="1" applyFont="1" applyFill="1" applyBorder="1" applyAlignment="1">
      <alignment horizontal="justify" vertical="center" wrapText="1"/>
    </xf>
    <xf numFmtId="166" fontId="96" fillId="11" borderId="20" xfId="0" applyNumberFormat="1" applyFont="1" applyFill="1" applyBorder="1" applyAlignment="1">
      <alignment horizontal="justify" vertical="center" wrapText="1"/>
    </xf>
    <xf numFmtId="166" fontId="96" fillId="11" borderId="18" xfId="0" applyNumberFormat="1" applyFont="1" applyFill="1" applyBorder="1" applyAlignment="1">
      <alignment horizontal="justify" vertical="center" wrapText="1"/>
    </xf>
    <xf numFmtId="0" fontId="48" fillId="4" borderId="21" xfId="0" applyFont="1" applyFill="1" applyBorder="1" applyAlignment="1">
      <alignment horizontal="justify" vertical="center" textRotation="90" wrapText="1"/>
    </xf>
    <xf numFmtId="0" fontId="48" fillId="4" borderId="19" xfId="0" applyFont="1" applyFill="1" applyBorder="1" applyAlignment="1">
      <alignment horizontal="justify" vertical="center" textRotation="90" wrapText="1"/>
    </xf>
    <xf numFmtId="0" fontId="48" fillId="4" borderId="14" xfId="0" applyFont="1" applyFill="1" applyBorder="1" applyAlignment="1">
      <alignment horizontal="justify" vertical="center" textRotation="90" wrapText="1"/>
    </xf>
    <xf numFmtId="49" fontId="48" fillId="0" borderId="23" xfId="0" applyNumberFormat="1" applyFont="1" applyBorder="1" applyAlignment="1">
      <alignment horizontal="justify" vertical="center" wrapText="1"/>
    </xf>
    <xf numFmtId="49" fontId="48" fillId="0" borderId="38" xfId="0" applyNumberFormat="1" applyFont="1" applyBorder="1" applyAlignment="1">
      <alignment horizontal="justify" vertical="center" wrapText="1"/>
    </xf>
    <xf numFmtId="166" fontId="93" fillId="0" borderId="17" xfId="0" applyNumberFormat="1" applyFont="1" applyBorder="1" applyAlignment="1">
      <alignment horizontal="justify" vertical="center"/>
    </xf>
    <xf numFmtId="166" fontId="93" fillId="0" borderId="20" xfId="0" applyNumberFormat="1" applyFont="1" applyBorder="1" applyAlignment="1">
      <alignment horizontal="justify" vertical="center"/>
    </xf>
    <xf numFmtId="166" fontId="93" fillId="0" borderId="18" xfId="0" applyNumberFormat="1" applyFont="1" applyBorder="1" applyAlignment="1">
      <alignment horizontal="justify" vertical="center"/>
    </xf>
    <xf numFmtId="166" fontId="83" fillId="0" borderId="17" xfId="0" applyNumberFormat="1" applyFont="1" applyBorder="1" applyAlignment="1">
      <alignment horizontal="justify" vertical="center"/>
    </xf>
    <xf numFmtId="166" fontId="83" fillId="0" borderId="20" xfId="0" applyNumberFormat="1" applyFont="1" applyBorder="1" applyAlignment="1">
      <alignment horizontal="justify" vertical="center"/>
    </xf>
    <xf numFmtId="49" fontId="96" fillId="0" borderId="12" xfId="0" applyNumberFormat="1" applyFont="1" applyBorder="1" applyAlignment="1">
      <alignment horizontal="justify" vertical="center" wrapText="1"/>
    </xf>
    <xf numFmtId="49" fontId="96" fillId="0" borderId="23" xfId="0" applyNumberFormat="1" applyFont="1" applyBorder="1" applyAlignment="1">
      <alignment horizontal="justify" vertical="center" wrapText="1"/>
    </xf>
    <xf numFmtId="49" fontId="96" fillId="0" borderId="28" xfId="0" applyNumberFormat="1" applyFont="1" applyBorder="1" applyAlignment="1">
      <alignment horizontal="justify" vertical="center" wrapText="1"/>
    </xf>
    <xf numFmtId="49" fontId="96" fillId="0" borderId="24" xfId="0" applyNumberFormat="1" applyFont="1" applyBorder="1" applyAlignment="1">
      <alignment horizontal="justify" vertical="center" wrapText="1"/>
    </xf>
    <xf numFmtId="49" fontId="96" fillId="0" borderId="38" xfId="0" applyNumberFormat="1" applyFont="1" applyBorder="1" applyAlignment="1">
      <alignment horizontal="justify" vertical="center" wrapText="1"/>
    </xf>
    <xf numFmtId="49" fontId="96" fillId="0" borderId="0" xfId="0" applyNumberFormat="1" applyFont="1" applyAlignment="1">
      <alignment horizontal="justify" vertical="center" wrapText="1"/>
    </xf>
    <xf numFmtId="49" fontId="96" fillId="0" borderId="36" xfId="0" applyNumberFormat="1" applyFont="1" applyBorder="1" applyAlignment="1">
      <alignment horizontal="justify" vertical="center" wrapText="1"/>
    </xf>
    <xf numFmtId="49" fontId="96" fillId="0" borderId="29" xfId="0" applyNumberFormat="1" applyFont="1" applyBorder="1" applyAlignment="1">
      <alignment horizontal="justify" vertical="center" wrapText="1"/>
    </xf>
    <xf numFmtId="49" fontId="96" fillId="0" borderId="30" xfId="0" applyNumberFormat="1" applyFont="1" applyBorder="1" applyAlignment="1">
      <alignment horizontal="justify" vertical="center" wrapText="1"/>
    </xf>
    <xf numFmtId="49" fontId="96" fillId="0" borderId="25" xfId="0" applyNumberFormat="1" applyFont="1" applyBorder="1" applyAlignment="1">
      <alignment horizontal="justify" vertical="center" wrapText="1"/>
    </xf>
    <xf numFmtId="49" fontId="96" fillId="0" borderId="23" xfId="0" applyNumberFormat="1" applyFont="1" applyBorder="1" applyAlignment="1">
      <alignment horizontal="center" vertical="center" wrapText="1"/>
    </xf>
    <xf numFmtId="49" fontId="96" fillId="0" borderId="28" xfId="0" applyNumberFormat="1" applyFont="1" applyBorder="1" applyAlignment="1">
      <alignment horizontal="center" vertical="center" wrapText="1"/>
    </xf>
    <xf numFmtId="49" fontId="96" fillId="0" borderId="24" xfId="0" applyNumberFormat="1" applyFont="1" applyBorder="1" applyAlignment="1">
      <alignment horizontal="center" vertical="center" wrapText="1"/>
    </xf>
    <xf numFmtId="49" fontId="96" fillId="0" borderId="38" xfId="0" applyNumberFormat="1" applyFont="1" applyBorder="1" applyAlignment="1">
      <alignment horizontal="center" vertical="center" wrapText="1"/>
    </xf>
    <xf numFmtId="49" fontId="96" fillId="0" borderId="0" xfId="0" applyNumberFormat="1" applyFont="1" applyAlignment="1">
      <alignment horizontal="center" vertical="center" wrapText="1"/>
    </xf>
    <xf numFmtId="49" fontId="96" fillId="0" borderId="36" xfId="0" applyNumberFormat="1" applyFont="1" applyBorder="1" applyAlignment="1">
      <alignment horizontal="center" vertical="center" wrapText="1"/>
    </xf>
    <xf numFmtId="49" fontId="96" fillId="0" borderId="29" xfId="0" applyNumberFormat="1" applyFont="1" applyBorder="1" applyAlignment="1">
      <alignment horizontal="center" vertical="center" wrapText="1"/>
    </xf>
    <xf numFmtId="49" fontId="96" fillId="0" borderId="30" xfId="0" applyNumberFormat="1" applyFont="1" applyBorder="1" applyAlignment="1">
      <alignment horizontal="center" vertical="center" wrapText="1"/>
    </xf>
    <xf numFmtId="49" fontId="96" fillId="0" borderId="25" xfId="0" applyNumberFormat="1" applyFont="1" applyBorder="1" applyAlignment="1">
      <alignment horizontal="center" vertical="center" wrapText="1"/>
    </xf>
    <xf numFmtId="0" fontId="101" fillId="0" borderId="0" xfId="0" applyFont="1" applyAlignment="1">
      <alignment horizontal="center" vertical="center" wrapText="1"/>
    </xf>
    <xf numFmtId="49" fontId="91" fillId="28" borderId="17" xfId="0" applyNumberFormat="1" applyFont="1" applyFill="1" applyBorder="1" applyAlignment="1">
      <alignment horizontal="center" vertical="center" wrapText="1"/>
    </xf>
    <xf numFmtId="49" fontId="91" fillId="28" borderId="20" xfId="0" applyNumberFormat="1" applyFont="1" applyFill="1" applyBorder="1" applyAlignment="1">
      <alignment horizontal="center" vertical="center" wrapText="1"/>
    </xf>
    <xf numFmtId="49" fontId="91" fillId="28" borderId="18" xfId="0" applyNumberFormat="1" applyFont="1" applyFill="1" applyBorder="1" applyAlignment="1">
      <alignment horizontal="center" vertical="center" wrapText="1"/>
    </xf>
    <xf numFmtId="166" fontId="91" fillId="24" borderId="17" xfId="0" applyNumberFormat="1" applyFont="1" applyFill="1" applyBorder="1" applyAlignment="1">
      <alignment horizontal="justify" vertical="center" wrapText="1"/>
    </xf>
    <xf numFmtId="166" fontId="91" fillId="24" borderId="18" xfId="0" applyNumberFormat="1" applyFont="1" applyFill="1" applyBorder="1" applyAlignment="1">
      <alignment horizontal="justify" vertical="center" wrapText="1"/>
    </xf>
    <xf numFmtId="0" fontId="91" fillId="4" borderId="9" xfId="0" applyFont="1" applyFill="1" applyBorder="1" applyAlignment="1">
      <alignment horizontal="justify" vertical="center" textRotation="90" wrapText="1"/>
    </xf>
    <xf numFmtId="0" fontId="91" fillId="4" borderId="7" xfId="0" applyFont="1" applyFill="1" applyBorder="1" applyAlignment="1">
      <alignment horizontal="justify" vertical="center" textRotation="90" wrapText="1"/>
    </xf>
    <xf numFmtId="166" fontId="91" fillId="0" borderId="12" xfId="0" applyNumberFormat="1" applyFont="1" applyBorder="1" applyAlignment="1">
      <alignment horizontal="justify" vertical="center" wrapText="1"/>
    </xf>
    <xf numFmtId="166" fontId="91" fillId="0" borderId="12" xfId="0" applyNumberFormat="1" applyFont="1" applyBorder="1" applyAlignment="1">
      <alignment horizontal="justify" vertical="center"/>
    </xf>
    <xf numFmtId="49" fontId="95" fillId="0" borderId="18" xfId="0" applyNumberFormat="1" applyFont="1" applyBorder="1" applyAlignment="1">
      <alignment horizontal="justify" vertical="center" wrapText="1"/>
    </xf>
    <xf numFmtId="49" fontId="95" fillId="0" borderId="12" xfId="0" applyNumberFormat="1" applyFont="1" applyBorder="1" applyAlignment="1">
      <alignment horizontal="justify" vertical="center" wrapText="1"/>
    </xf>
    <xf numFmtId="0" fontId="91" fillId="4" borderId="6" xfId="0" applyFont="1" applyFill="1" applyBorder="1" applyAlignment="1">
      <alignment horizontal="justify" vertical="center" textRotation="90" wrapText="1"/>
    </xf>
    <xf numFmtId="0" fontId="101" fillId="0" borderId="9" xfId="0" applyFont="1" applyBorder="1" applyAlignment="1">
      <alignment horizontal="justify" vertical="center" wrapText="1"/>
    </xf>
    <xf numFmtId="0" fontId="101" fillId="0" borderId="7" xfId="0" applyFont="1" applyBorder="1" applyAlignment="1">
      <alignment horizontal="justify" vertical="center" wrapText="1"/>
    </xf>
    <xf numFmtId="0" fontId="91" fillId="25" borderId="7" xfId="0" applyFont="1" applyFill="1" applyBorder="1" applyAlignment="1">
      <alignment horizontal="justify" vertical="center" textRotation="90" wrapText="1"/>
    </xf>
    <xf numFmtId="0" fontId="91" fillId="25" borderId="16" xfId="0" applyFont="1" applyFill="1" applyBorder="1" applyAlignment="1">
      <alignment horizontal="justify" vertical="center" textRotation="90" wrapText="1"/>
    </xf>
    <xf numFmtId="0" fontId="91" fillId="25" borderId="9" xfId="0" applyFont="1" applyFill="1" applyBorder="1" applyAlignment="1">
      <alignment horizontal="justify" vertical="center" textRotation="90" wrapText="1"/>
    </xf>
    <xf numFmtId="0" fontId="101" fillId="0" borderId="6" xfId="0" applyFont="1" applyBorder="1" applyAlignment="1">
      <alignment horizontal="justify" vertical="center" wrapText="1"/>
    </xf>
    <xf numFmtId="0" fontId="35" fillId="0" borderId="0" xfId="0" applyFont="1" applyAlignment="1">
      <alignment horizontal="left" vertical="center" wrapText="1"/>
    </xf>
    <xf numFmtId="0" fontId="91" fillId="0" borderId="0" xfId="0" applyFont="1" applyAlignment="1">
      <alignment horizontal="left" vertical="center" wrapText="1"/>
    </xf>
    <xf numFmtId="49" fontId="91" fillId="0" borderId="6" xfId="0" applyNumberFormat="1" applyFont="1" applyBorder="1" applyAlignment="1">
      <alignment horizontal="justify" vertical="center"/>
    </xf>
    <xf numFmtId="49" fontId="91" fillId="0" borderId="7" xfId="0" applyNumberFormat="1" applyFont="1" applyBorder="1" applyAlignment="1">
      <alignment horizontal="justify" vertical="center"/>
    </xf>
    <xf numFmtId="166" fontId="91" fillId="0" borderId="20" xfId="0" applyNumberFormat="1" applyFont="1" applyBorder="1" applyAlignment="1">
      <alignment horizontal="justify" vertical="center"/>
    </xf>
    <xf numFmtId="166" fontId="91" fillId="0" borderId="17" xfId="0" applyNumberFormat="1" applyFont="1" applyBorder="1" applyAlignment="1">
      <alignment horizontal="justify" vertical="center"/>
    </xf>
    <xf numFmtId="0" fontId="101" fillId="0" borderId="16" xfId="0" applyFont="1" applyBorder="1" applyAlignment="1">
      <alignment horizontal="justify" vertical="center" wrapText="1"/>
    </xf>
    <xf numFmtId="0" fontId="91" fillId="4" borderId="16" xfId="0" applyFont="1" applyFill="1" applyBorder="1" applyAlignment="1">
      <alignment horizontal="justify" vertical="center" textRotation="90" wrapText="1"/>
    </xf>
    <xf numFmtId="49" fontId="49" fillId="20" borderId="17" xfId="0" applyNumberFormat="1" applyFont="1" applyFill="1" applyBorder="1" applyAlignment="1">
      <alignment horizontal="justify" vertical="center"/>
    </xf>
    <xf numFmtId="49" fontId="49" fillId="20" borderId="18" xfId="0" applyNumberFormat="1" applyFont="1" applyFill="1" applyBorder="1" applyAlignment="1">
      <alignment horizontal="justify" vertical="center"/>
    </xf>
    <xf numFmtId="166" fontId="91" fillId="0" borderId="18" xfId="0" applyNumberFormat="1" applyFont="1" applyBorder="1" applyAlignment="1">
      <alignment horizontal="justify" vertical="center"/>
    </xf>
    <xf numFmtId="49" fontId="91" fillId="0" borderId="14" xfId="0" applyNumberFormat="1" applyFont="1" applyBorder="1" applyAlignment="1">
      <alignment horizontal="justify" vertical="center"/>
    </xf>
    <xf numFmtId="49" fontId="91" fillId="0" borderId="8" xfId="0" applyNumberFormat="1" applyFont="1" applyBorder="1" applyAlignment="1">
      <alignment horizontal="justify" vertical="center"/>
    </xf>
    <xf numFmtId="49" fontId="91" fillId="0" borderId="9" xfId="0" applyNumberFormat="1" applyFont="1" applyBorder="1" applyAlignment="1">
      <alignment horizontal="justify" vertical="center"/>
    </xf>
    <xf numFmtId="49" fontId="91" fillId="0" borderId="12" xfId="0" applyNumberFormat="1" applyFont="1" applyBorder="1" applyAlignment="1">
      <alignment horizontal="justify" vertical="center"/>
    </xf>
    <xf numFmtId="49" fontId="101" fillId="0" borderId="12" xfId="0" applyNumberFormat="1" applyFont="1" applyBorder="1" applyAlignment="1">
      <alignment horizontal="justify" vertical="center" wrapText="1"/>
    </xf>
    <xf numFmtId="0" fontId="101" fillId="0" borderId="12" xfId="0" applyFont="1" applyBorder="1" applyAlignment="1">
      <alignment horizontal="justify" vertical="center" wrapText="1"/>
    </xf>
    <xf numFmtId="49" fontId="48" fillId="18" borderId="12" xfId="0" applyNumberFormat="1" applyFont="1" applyFill="1" applyBorder="1" applyAlignment="1">
      <alignment horizontal="justify" vertical="center"/>
    </xf>
    <xf numFmtId="0" fontId="47" fillId="45" borderId="12" xfId="0" applyFont="1" applyFill="1" applyBorder="1" applyAlignment="1">
      <alignment horizontal="justify" vertical="center" wrapText="1"/>
    </xf>
    <xf numFmtId="0" fontId="91" fillId="4" borderId="12" xfId="0" applyFont="1" applyFill="1" applyBorder="1" applyAlignment="1">
      <alignment horizontal="justify" vertical="center" textRotation="90" wrapText="1"/>
    </xf>
    <xf numFmtId="49" fontId="91" fillId="28" borderId="20" xfId="0" applyNumberFormat="1" applyFont="1" applyFill="1" applyBorder="1" applyAlignment="1">
      <alignment horizontal="left" vertical="center" wrapText="1"/>
    </xf>
    <xf numFmtId="0" fontId="101" fillId="0" borderId="12" xfId="0" applyFont="1" applyBorder="1" applyAlignment="1">
      <alignment horizontal="left" vertical="center" wrapText="1"/>
    </xf>
    <xf numFmtId="49" fontId="91" fillId="0" borderId="18" xfId="0" applyNumberFormat="1" applyFont="1" applyBorder="1" applyAlignment="1">
      <alignment horizontal="left" vertical="center" wrapText="1"/>
    </xf>
    <xf numFmtId="49" fontId="91" fillId="0" borderId="17" xfId="0" applyNumberFormat="1" applyFont="1" applyBorder="1" applyAlignment="1">
      <alignment horizontal="left" vertical="center" wrapText="1"/>
    </xf>
    <xf numFmtId="0" fontId="91" fillId="4" borderId="9" xfId="0" applyFont="1" applyFill="1" applyBorder="1" applyAlignment="1">
      <alignment horizontal="left" vertical="center" textRotation="90" wrapText="1"/>
    </xf>
    <xf numFmtId="0" fontId="91" fillId="4" borderId="6" xfId="0" applyFont="1" applyFill="1" applyBorder="1" applyAlignment="1">
      <alignment horizontal="left" vertical="center" textRotation="90" wrapText="1"/>
    </xf>
    <xf numFmtId="0" fontId="91" fillId="0" borderId="12" xfId="0" applyFont="1" applyBorder="1" applyAlignment="1">
      <alignment horizontal="left" vertical="center" wrapText="1"/>
    </xf>
    <xf numFmtId="0" fontId="91" fillId="11" borderId="12" xfId="0" applyFont="1" applyFill="1" applyBorder="1" applyAlignment="1">
      <alignment horizontal="left" vertical="center"/>
    </xf>
    <xf numFmtId="0" fontId="101" fillId="0" borderId="17" xfId="0" applyFont="1" applyBorder="1" applyAlignment="1">
      <alignment horizontal="left" vertical="center"/>
    </xf>
    <xf numFmtId="0" fontId="101" fillId="0" borderId="20" xfId="0" applyFont="1" applyBorder="1" applyAlignment="1">
      <alignment horizontal="left" vertical="center"/>
    </xf>
    <xf numFmtId="0" fontId="101" fillId="0" borderId="18" xfId="0" applyFont="1" applyBorder="1" applyAlignment="1">
      <alignment horizontal="left" vertical="center"/>
    </xf>
    <xf numFmtId="166" fontId="91" fillId="0" borderId="20" xfId="0" applyNumberFormat="1" applyFont="1" applyBorder="1" applyAlignment="1">
      <alignment horizontal="left" vertical="center" wrapText="1"/>
    </xf>
    <xf numFmtId="166" fontId="91" fillId="0" borderId="20" xfId="0" applyNumberFormat="1" applyFont="1" applyBorder="1" applyAlignment="1">
      <alignment horizontal="left" vertical="center"/>
    </xf>
    <xf numFmtId="49" fontId="101" fillId="0" borderId="9" xfId="0" applyNumberFormat="1" applyFont="1" applyBorder="1" applyAlignment="1">
      <alignment horizontal="left" vertical="center"/>
    </xf>
    <xf numFmtId="49" fontId="101" fillId="0" borderId="6" xfId="0" applyNumberFormat="1" applyFont="1" applyBorder="1" applyAlignment="1">
      <alignment horizontal="left" vertical="center"/>
    </xf>
    <xf numFmtId="0" fontId="101" fillId="0" borderId="9" xfId="0" applyFont="1" applyBorder="1" applyAlignment="1">
      <alignment horizontal="left" vertical="center" wrapText="1"/>
    </xf>
    <xf numFmtId="0" fontId="101" fillId="0" borderId="6" xfId="0" applyFont="1" applyBorder="1" applyAlignment="1">
      <alignment horizontal="left" vertical="center" wrapText="1"/>
    </xf>
    <xf numFmtId="166" fontId="101" fillId="0" borderId="12" xfId="0" applyNumberFormat="1" applyFont="1" applyBorder="1" applyAlignment="1">
      <alignment horizontal="center" vertical="center"/>
    </xf>
    <xf numFmtId="166" fontId="101" fillId="0" borderId="24" xfId="0" applyNumberFormat="1" applyFont="1" applyBorder="1" applyAlignment="1">
      <alignment horizontal="center" vertical="center"/>
    </xf>
    <xf numFmtId="166" fontId="101" fillId="0" borderId="36" xfId="0" applyNumberFormat="1" applyFont="1" applyBorder="1" applyAlignment="1">
      <alignment horizontal="center" vertical="center"/>
    </xf>
    <xf numFmtId="166" fontId="101" fillId="0" borderId="25" xfId="0" applyNumberFormat="1" applyFont="1" applyBorder="1" applyAlignment="1">
      <alignment horizontal="center" vertical="center"/>
    </xf>
    <xf numFmtId="166" fontId="101" fillId="0" borderId="15" xfId="0" applyNumberFormat="1" applyFont="1" applyBorder="1" applyAlignment="1">
      <alignment horizontal="center" vertical="center"/>
    </xf>
    <xf numFmtId="49" fontId="91" fillId="28" borderId="12" xfId="0" applyNumberFormat="1" applyFont="1" applyFill="1" applyBorder="1" applyAlignment="1">
      <alignment horizontal="justify" vertical="center" wrapText="1"/>
    </xf>
    <xf numFmtId="49" fontId="91" fillId="28" borderId="20" xfId="0" applyNumberFormat="1" applyFont="1" applyFill="1" applyBorder="1" applyAlignment="1">
      <alignment horizontal="justify" vertical="center" wrapText="1"/>
    </xf>
    <xf numFmtId="49" fontId="91" fillId="28" borderId="18" xfId="0" applyNumberFormat="1" applyFont="1" applyFill="1" applyBorder="1" applyAlignment="1">
      <alignment horizontal="justify" vertical="center" wrapText="1"/>
    </xf>
    <xf numFmtId="0" fontId="96" fillId="24" borderId="21" xfId="0" applyFont="1" applyFill="1" applyBorder="1" applyAlignment="1">
      <alignment horizontal="justify" vertical="center" wrapText="1"/>
    </xf>
    <xf numFmtId="0" fontId="96" fillId="24" borderId="14" xfId="0" applyFont="1" applyFill="1" applyBorder="1" applyAlignment="1">
      <alignment horizontal="justify" vertical="center" wrapText="1"/>
    </xf>
    <xf numFmtId="0" fontId="91" fillId="0" borderId="12" xfId="0" applyFont="1" applyBorder="1" applyAlignment="1">
      <alignment horizontal="justify" vertical="center" textRotation="90" wrapText="1"/>
    </xf>
    <xf numFmtId="0" fontId="101" fillId="0" borderId="15" xfId="0" applyFont="1" applyBorder="1" applyAlignment="1">
      <alignment horizontal="center" vertical="center" wrapText="1"/>
    </xf>
    <xf numFmtId="49" fontId="91" fillId="0" borderId="12" xfId="0" applyNumberFormat="1" applyFont="1" applyBorder="1" applyAlignment="1">
      <alignment horizontal="justify" vertical="center" textRotation="90"/>
    </xf>
    <xf numFmtId="49" fontId="91" fillId="24" borderId="7" xfId="0" applyNumberFormat="1" applyFont="1" applyFill="1" applyBorder="1" applyAlignment="1">
      <alignment horizontal="justify" vertical="center"/>
    </xf>
    <xf numFmtId="49" fontId="91" fillId="24" borderId="9" xfId="0" applyNumberFormat="1" applyFont="1" applyFill="1" applyBorder="1" applyAlignment="1">
      <alignment horizontal="justify" vertical="center"/>
    </xf>
    <xf numFmtId="49" fontId="91" fillId="24" borderId="28" xfId="0" applyNumberFormat="1" applyFont="1" applyFill="1" applyBorder="1" applyAlignment="1">
      <alignment horizontal="justify" vertical="center" wrapText="1"/>
    </xf>
    <xf numFmtId="49" fontId="91" fillId="24" borderId="0" xfId="0" applyNumberFormat="1" applyFont="1" applyFill="1" applyAlignment="1">
      <alignment horizontal="justify" vertical="center" wrapText="1"/>
    </xf>
    <xf numFmtId="49" fontId="91" fillId="24" borderId="79" xfId="0" applyNumberFormat="1" applyFont="1" applyFill="1" applyBorder="1" applyAlignment="1">
      <alignment horizontal="justify" vertical="center" wrapText="1"/>
    </xf>
    <xf numFmtId="0" fontId="96" fillId="24" borderId="17" xfId="0" applyFont="1" applyFill="1" applyBorder="1" applyAlignment="1">
      <alignment horizontal="justify" vertical="center"/>
    </xf>
    <xf numFmtId="0" fontId="96" fillId="24" borderId="18" xfId="0" applyFont="1" applyFill="1" applyBorder="1" applyAlignment="1">
      <alignment horizontal="justify" vertical="center"/>
    </xf>
    <xf numFmtId="0" fontId="104" fillId="0" borderId="12" xfId="0" applyFont="1" applyBorder="1" applyAlignment="1">
      <alignment horizontal="justify" vertical="center" wrapText="1"/>
    </xf>
    <xf numFmtId="0" fontId="101" fillId="4" borderId="12" xfId="0" applyFont="1" applyFill="1" applyBorder="1" applyAlignment="1">
      <alignment horizontal="justify" vertical="center" wrapText="1"/>
    </xf>
    <xf numFmtId="0" fontId="0" fillId="0" borderId="0" xfId="0" applyAlignment="1">
      <alignment horizontal="left" vertical="center" wrapText="1"/>
    </xf>
    <xf numFmtId="0" fontId="96" fillId="24" borderId="37" xfId="0" applyFont="1" applyFill="1" applyBorder="1" applyAlignment="1">
      <alignment horizontal="justify" vertical="center" wrapText="1"/>
    </xf>
    <xf numFmtId="0" fontId="101" fillId="4" borderId="9" xfId="0" applyFont="1" applyFill="1" applyBorder="1" applyAlignment="1">
      <alignment horizontal="justify" vertical="center" wrapText="1"/>
    </xf>
    <xf numFmtId="0" fontId="101" fillId="4" borderId="7" xfId="0" applyFont="1" applyFill="1" applyBorder="1" applyAlignment="1">
      <alignment horizontal="justify" vertical="center" wrapText="1"/>
    </xf>
    <xf numFmtId="0" fontId="96" fillId="24" borderId="20" xfId="0" applyFont="1" applyFill="1" applyBorder="1" applyAlignment="1">
      <alignment horizontal="justify" vertical="center"/>
    </xf>
    <xf numFmtId="49" fontId="49" fillId="24" borderId="17" xfId="0" applyNumberFormat="1" applyFont="1" applyFill="1" applyBorder="1" applyAlignment="1">
      <alignment horizontal="justify" vertical="center"/>
    </xf>
    <xf numFmtId="49" fontId="49" fillId="24" borderId="20" xfId="0" applyNumberFormat="1" applyFont="1" applyFill="1" applyBorder="1" applyAlignment="1">
      <alignment horizontal="justify" vertical="center"/>
    </xf>
    <xf numFmtId="49" fontId="49" fillId="24" borderId="18" xfId="0" applyNumberFormat="1" applyFont="1" applyFill="1" applyBorder="1" applyAlignment="1">
      <alignment horizontal="justify" vertical="center"/>
    </xf>
    <xf numFmtId="49" fontId="47" fillId="19" borderId="17" xfId="0" applyNumberFormat="1" applyFont="1" applyFill="1" applyBorder="1" applyAlignment="1">
      <alignment horizontal="justify" vertical="center" wrapText="1"/>
    </xf>
    <xf numFmtId="49" fontId="47" fillId="19" borderId="20" xfId="0" applyNumberFormat="1" applyFont="1" applyFill="1" applyBorder="1" applyAlignment="1">
      <alignment horizontal="justify" vertical="center" wrapText="1"/>
    </xf>
    <xf numFmtId="49" fontId="47" fillId="19" borderId="18" xfId="0" applyNumberFormat="1" applyFont="1" applyFill="1" applyBorder="1" applyAlignment="1">
      <alignment horizontal="justify" vertical="center" wrapText="1"/>
    </xf>
    <xf numFmtId="49" fontId="47" fillId="38" borderId="18" xfId="0" applyNumberFormat="1" applyFont="1" applyFill="1" applyBorder="1" applyAlignment="1">
      <alignment horizontal="justify" vertical="center" wrapText="1"/>
    </xf>
    <xf numFmtId="49" fontId="47" fillId="38" borderId="12" xfId="0" applyNumberFormat="1" applyFont="1" applyFill="1" applyBorder="1" applyAlignment="1">
      <alignment horizontal="justify" vertical="center" wrapText="1"/>
    </xf>
    <xf numFmtId="49" fontId="47" fillId="38" borderId="17" xfId="0" applyNumberFormat="1" applyFont="1" applyFill="1" applyBorder="1" applyAlignment="1">
      <alignment horizontal="justify" vertical="center" wrapText="1"/>
    </xf>
    <xf numFmtId="49" fontId="47" fillId="38" borderId="20" xfId="0" applyNumberFormat="1" applyFont="1" applyFill="1" applyBorder="1" applyAlignment="1">
      <alignment horizontal="justify" vertical="center" wrapText="1"/>
    </xf>
    <xf numFmtId="49" fontId="48" fillId="19" borderId="9" xfId="0" applyNumberFormat="1" applyFont="1" applyFill="1" applyBorder="1" applyAlignment="1">
      <alignment horizontal="justify" vertical="center"/>
    </xf>
    <xf numFmtId="49" fontId="48" fillId="19" borderId="6" xfId="0" applyNumberFormat="1" applyFont="1" applyFill="1" applyBorder="1" applyAlignment="1">
      <alignment horizontal="justify" vertical="center"/>
    </xf>
    <xf numFmtId="49" fontId="47" fillId="19" borderId="12" xfId="0" applyNumberFormat="1" applyFont="1" applyFill="1" applyBorder="1" applyAlignment="1">
      <alignment horizontal="justify" vertical="center" wrapText="1"/>
    </xf>
    <xf numFmtId="49" fontId="48" fillId="19" borderId="18" xfId="0" applyNumberFormat="1" applyFont="1" applyFill="1" applyBorder="1" applyAlignment="1">
      <alignment horizontal="justify" vertical="center" textRotation="90"/>
    </xf>
    <xf numFmtId="49" fontId="48" fillId="19" borderId="12" xfId="0" applyNumberFormat="1" applyFont="1" applyFill="1" applyBorder="1" applyAlignment="1">
      <alignment horizontal="justify" vertical="center" textRotation="90"/>
    </xf>
    <xf numFmtId="166" fontId="47" fillId="19" borderId="24" xfId="0" applyNumberFormat="1" applyFont="1" applyFill="1" applyBorder="1" applyAlignment="1">
      <alignment horizontal="center" vertical="center"/>
    </xf>
    <xf numFmtId="166" fontId="47" fillId="19" borderId="25" xfId="0" applyNumberFormat="1" applyFont="1" applyFill="1" applyBorder="1" applyAlignment="1">
      <alignment horizontal="center" vertical="center"/>
    </xf>
    <xf numFmtId="49" fontId="48" fillId="23" borderId="18" xfId="0" applyNumberFormat="1" applyFont="1" applyFill="1" applyBorder="1" applyAlignment="1">
      <alignment horizontal="justify" vertical="center" wrapText="1"/>
    </xf>
    <xf numFmtId="49" fontId="48" fillId="23" borderId="12" xfId="0" applyNumberFormat="1" applyFont="1" applyFill="1" applyBorder="1" applyAlignment="1">
      <alignment horizontal="justify" vertical="center" wrapText="1"/>
    </xf>
    <xf numFmtId="49" fontId="48" fillId="19" borderId="18" xfId="0" applyNumberFormat="1" applyFont="1" applyFill="1" applyBorder="1" applyAlignment="1">
      <alignment horizontal="justify" vertical="center" wrapText="1"/>
    </xf>
    <xf numFmtId="49" fontId="48" fillId="19" borderId="17" xfId="0" applyNumberFormat="1" applyFont="1" applyFill="1" applyBorder="1" applyAlignment="1">
      <alignment horizontal="justify" vertical="center" wrapText="1"/>
    </xf>
    <xf numFmtId="2" fontId="48" fillId="0" borderId="17" xfId="0" applyNumberFormat="1" applyFont="1" applyBorder="1" applyAlignment="1">
      <alignment horizontal="justify" vertical="center" wrapText="1"/>
    </xf>
    <xf numFmtId="2" fontId="48" fillId="0" borderId="20" xfId="0" applyNumberFormat="1" applyFont="1" applyBorder="1" applyAlignment="1">
      <alignment horizontal="justify" vertical="center" wrapText="1"/>
    </xf>
    <xf numFmtId="2" fontId="48" fillId="0" borderId="18" xfId="0" applyNumberFormat="1" applyFont="1" applyBorder="1" applyAlignment="1">
      <alignment horizontal="justify" vertical="center" wrapText="1"/>
    </xf>
    <xf numFmtId="1" fontId="48" fillId="0" borderId="17" xfId="0" applyNumberFormat="1" applyFont="1" applyBorder="1" applyAlignment="1">
      <alignment horizontal="justify" vertical="center" wrapText="1"/>
    </xf>
    <xf numFmtId="1" fontId="48" fillId="0" borderId="20" xfId="0" applyNumberFormat="1" applyFont="1" applyBorder="1" applyAlignment="1">
      <alignment horizontal="justify" vertical="center" wrapText="1"/>
    </xf>
    <xf numFmtId="1" fontId="48" fillId="0" borderId="18" xfId="0" applyNumberFormat="1" applyFont="1" applyBorder="1" applyAlignment="1">
      <alignment horizontal="justify" vertical="center" wrapText="1"/>
    </xf>
    <xf numFmtId="49" fontId="48" fillId="0" borderId="13" xfId="0" applyNumberFormat="1" applyFont="1" applyBorder="1" applyAlignment="1">
      <alignment horizontal="left" vertical="center" wrapText="1"/>
    </xf>
    <xf numFmtId="49" fontId="48" fillId="0" borderId="15" xfId="0" applyNumberFormat="1" applyFont="1" applyBorder="1" applyAlignment="1">
      <alignment horizontal="left" vertical="center" wrapText="1"/>
    </xf>
    <xf numFmtId="49" fontId="48" fillId="0" borderId="23" xfId="0" applyNumberFormat="1" applyFont="1" applyBorder="1" applyAlignment="1">
      <alignment horizontal="left" vertical="center" wrapText="1"/>
    </xf>
    <xf numFmtId="49" fontId="48" fillId="0" borderId="24" xfId="0" applyNumberFormat="1" applyFont="1" applyBorder="1" applyAlignment="1">
      <alignment horizontal="left" vertical="center" wrapText="1"/>
    </xf>
    <xf numFmtId="49" fontId="48" fillId="0" borderId="38" xfId="0" applyNumberFormat="1" applyFont="1" applyBorder="1" applyAlignment="1">
      <alignment horizontal="left" vertical="center" wrapText="1"/>
    </xf>
    <xf numFmtId="49" fontId="48" fillId="0" borderId="36" xfId="0" applyNumberFormat="1" applyFont="1" applyBorder="1" applyAlignment="1">
      <alignment horizontal="left" vertical="center" wrapText="1"/>
    </xf>
    <xf numFmtId="49" fontId="48" fillId="0" borderId="29" xfId="0" applyNumberFormat="1" applyFont="1" applyBorder="1" applyAlignment="1">
      <alignment horizontal="left" vertical="center" wrapText="1"/>
    </xf>
    <xf numFmtId="49" fontId="48" fillId="0" borderId="25" xfId="0" applyNumberFormat="1" applyFont="1" applyBorder="1" applyAlignment="1">
      <alignment horizontal="left" vertical="center" wrapText="1"/>
    </xf>
    <xf numFmtId="49" fontId="48" fillId="19" borderId="12" xfId="0" applyNumberFormat="1" applyFont="1" applyFill="1" applyBorder="1" applyAlignment="1">
      <alignment horizontal="center" vertical="top" wrapText="1"/>
    </xf>
    <xf numFmtId="49" fontId="48" fillId="19" borderId="17" xfId="0" applyNumberFormat="1" applyFont="1" applyFill="1" applyBorder="1" applyAlignment="1">
      <alignment horizontal="center" vertical="top" wrapText="1"/>
    </xf>
    <xf numFmtId="0" fontId="48" fillId="0" borderId="23" xfId="0" applyFont="1" applyBorder="1" applyAlignment="1">
      <alignment horizontal="center" vertical="center"/>
    </xf>
    <xf numFmtId="0" fontId="48" fillId="0" borderId="24" xfId="0" applyFont="1" applyBorder="1" applyAlignment="1">
      <alignment horizontal="center" vertical="center"/>
    </xf>
    <xf numFmtId="0" fontId="48" fillId="0" borderId="38" xfId="0" applyFont="1" applyBorder="1" applyAlignment="1">
      <alignment horizontal="center" vertical="center"/>
    </xf>
    <xf numFmtId="0" fontId="48" fillId="0" borderId="36" xfId="0" applyFont="1" applyBorder="1" applyAlignment="1">
      <alignment horizontal="center" vertical="center"/>
    </xf>
    <xf numFmtId="0" fontId="48" fillId="0" borderId="29" xfId="0" applyFont="1" applyBorder="1" applyAlignment="1">
      <alignment horizontal="center" vertical="center"/>
    </xf>
    <xf numFmtId="0" fontId="48" fillId="0" borderId="25" xfId="0" applyFont="1" applyBorder="1" applyAlignment="1">
      <alignment horizontal="center" vertical="center"/>
    </xf>
    <xf numFmtId="49" fontId="48" fillId="23" borderId="23" xfId="0" applyNumberFormat="1" applyFont="1" applyFill="1" applyBorder="1" applyAlignment="1">
      <alignment horizontal="center" vertical="top" wrapText="1"/>
    </xf>
    <xf numFmtId="49" fontId="48" fillId="23" borderId="24" xfId="0" applyNumberFormat="1" applyFont="1" applyFill="1" applyBorder="1" applyAlignment="1">
      <alignment horizontal="center" vertical="top" wrapText="1"/>
    </xf>
    <xf numFmtId="49" fontId="48" fillId="23" borderId="38" xfId="0" applyNumberFormat="1" applyFont="1" applyFill="1" applyBorder="1" applyAlignment="1">
      <alignment horizontal="center" vertical="top" wrapText="1"/>
    </xf>
    <xf numFmtId="49" fontId="48" fillId="23" borderId="36" xfId="0" applyNumberFormat="1" applyFont="1" applyFill="1" applyBorder="1" applyAlignment="1">
      <alignment horizontal="center" vertical="top" wrapText="1"/>
    </xf>
    <xf numFmtId="49" fontId="48" fillId="23" borderId="29" xfId="0" applyNumberFormat="1" applyFont="1" applyFill="1" applyBorder="1" applyAlignment="1">
      <alignment horizontal="center" vertical="top" wrapText="1"/>
    </xf>
    <xf numFmtId="49" fontId="48" fillId="23" borderId="25" xfId="0" applyNumberFormat="1" applyFont="1" applyFill="1" applyBorder="1" applyAlignment="1">
      <alignment horizontal="center" vertical="top" wrapText="1"/>
    </xf>
    <xf numFmtId="49" fontId="48" fillId="0" borderId="9" xfId="0" applyNumberFormat="1" applyFont="1" applyBorder="1" applyAlignment="1">
      <alignment horizontal="justify" vertical="center" wrapText="1"/>
    </xf>
    <xf numFmtId="2" fontId="48" fillId="0" borderId="23" xfId="0" applyNumberFormat="1" applyFont="1" applyBorder="1" applyAlignment="1">
      <alignment horizontal="left" vertical="center" wrapText="1"/>
    </xf>
    <xf numFmtId="2" fontId="48" fillId="0" borderId="24" xfId="0" applyNumberFormat="1" applyFont="1" applyBorder="1" applyAlignment="1">
      <alignment horizontal="left" vertical="center" wrapText="1"/>
    </xf>
    <xf numFmtId="2" fontId="48" fillId="0" borderId="38" xfId="0" applyNumberFormat="1" applyFont="1" applyBorder="1" applyAlignment="1">
      <alignment horizontal="left" vertical="center" wrapText="1"/>
    </xf>
    <xf numFmtId="2" fontId="48" fillId="0" borderId="36" xfId="0" applyNumberFormat="1" applyFont="1" applyBorder="1" applyAlignment="1">
      <alignment horizontal="left" vertical="center" wrapText="1"/>
    </xf>
    <xf numFmtId="2" fontId="48" fillId="0" borderId="29" xfId="0" applyNumberFormat="1" applyFont="1" applyBorder="1" applyAlignment="1">
      <alignment horizontal="left" vertical="center" wrapText="1"/>
    </xf>
    <xf numFmtId="2" fontId="48" fillId="0" borderId="25" xfId="0" applyNumberFormat="1" applyFont="1" applyBorder="1" applyAlignment="1">
      <alignment horizontal="left" vertical="center" wrapText="1"/>
    </xf>
    <xf numFmtId="2" fontId="47" fillId="0" borderId="24" xfId="0" applyNumberFormat="1" applyFont="1" applyBorder="1" applyAlignment="1">
      <alignment horizontal="center" vertical="center"/>
    </xf>
    <xf numFmtId="2" fontId="47" fillId="0" borderId="36" xfId="0" applyNumberFormat="1" applyFont="1" applyBorder="1" applyAlignment="1">
      <alignment horizontal="center" vertical="center"/>
    </xf>
    <xf numFmtId="2" fontId="47" fillId="0" borderId="25" xfId="0" applyNumberFormat="1" applyFont="1" applyBorder="1" applyAlignment="1">
      <alignment horizontal="center" vertical="center"/>
    </xf>
    <xf numFmtId="0" fontId="47" fillId="0" borderId="28" xfId="0" applyFont="1" applyBorder="1" applyAlignment="1">
      <alignment horizontal="center" vertical="center" wrapText="1"/>
    </xf>
    <xf numFmtId="49" fontId="48" fillId="0" borderId="23" xfId="0" applyNumberFormat="1" applyFont="1" applyBorder="1" applyAlignment="1">
      <alignment horizontal="center" vertical="center" wrapText="1"/>
    </xf>
    <xf numFmtId="49" fontId="48" fillId="0" borderId="24" xfId="0" applyNumberFormat="1" applyFont="1" applyBorder="1" applyAlignment="1">
      <alignment horizontal="center" vertical="center" wrapText="1"/>
    </xf>
    <xf numFmtId="49" fontId="48" fillId="0" borderId="38" xfId="0" applyNumberFormat="1" applyFont="1" applyBorder="1" applyAlignment="1">
      <alignment horizontal="center" vertical="center" wrapText="1"/>
    </xf>
    <xf numFmtId="49" fontId="48" fillId="0" borderId="36" xfId="0" applyNumberFormat="1" applyFont="1" applyBorder="1" applyAlignment="1">
      <alignment horizontal="center" vertical="center" wrapText="1"/>
    </xf>
    <xf numFmtId="49" fontId="48" fillId="0" borderId="29" xfId="0" applyNumberFormat="1" applyFont="1" applyBorder="1" applyAlignment="1">
      <alignment horizontal="center" vertical="center" wrapText="1"/>
    </xf>
    <xf numFmtId="49" fontId="48" fillId="0" borderId="25" xfId="0" applyNumberFormat="1" applyFont="1" applyBorder="1" applyAlignment="1">
      <alignment horizontal="center" vertical="center" wrapText="1"/>
    </xf>
    <xf numFmtId="0" fontId="38" fillId="0" borderId="0" xfId="0" applyFont="1" applyAlignment="1">
      <alignment horizontal="left" vertical="top" wrapText="1"/>
    </xf>
    <xf numFmtId="1" fontId="48" fillId="0" borderId="12" xfId="0" applyNumberFormat="1" applyFont="1" applyBorder="1" applyAlignment="1">
      <alignment horizontal="justify" vertical="center" wrapText="1"/>
    </xf>
    <xf numFmtId="2" fontId="47" fillId="0" borderId="18" xfId="0" applyNumberFormat="1" applyFont="1" applyBorder="1" applyAlignment="1">
      <alignment horizontal="justify" vertical="center" wrapText="1"/>
    </xf>
    <xf numFmtId="2" fontId="47" fillId="0" borderId="12" xfId="0" applyNumberFormat="1" applyFont="1" applyBorder="1" applyAlignment="1">
      <alignment horizontal="justify" vertical="center" wrapText="1"/>
    </xf>
    <xf numFmtId="1" fontId="48" fillId="0" borderId="18" xfId="0" applyNumberFormat="1" applyFont="1" applyBorder="1" applyAlignment="1">
      <alignment horizontal="justify" vertical="center" textRotation="90"/>
    </xf>
    <xf numFmtId="1" fontId="48" fillId="0" borderId="12" xfId="0" applyNumberFormat="1" applyFont="1" applyBorder="1" applyAlignment="1">
      <alignment horizontal="justify" vertical="center" textRotation="90"/>
    </xf>
    <xf numFmtId="2" fontId="48" fillId="0" borderId="12" xfId="0" applyNumberFormat="1" applyFont="1" applyBorder="1" applyAlignment="1">
      <alignment horizontal="justify" vertical="center" wrapText="1"/>
    </xf>
    <xf numFmtId="49" fontId="47" fillId="23" borderId="13" xfId="0" applyNumberFormat="1" applyFont="1" applyFill="1" applyBorder="1" applyAlignment="1">
      <alignment vertical="top" wrapText="1"/>
    </xf>
    <xf numFmtId="49" fontId="47" fillId="23" borderId="15" xfId="0" applyNumberFormat="1" applyFont="1" applyFill="1" applyBorder="1" applyAlignment="1">
      <alignment vertical="top" wrapText="1"/>
    </xf>
    <xf numFmtId="49" fontId="48" fillId="19" borderId="7" xfId="0" applyNumberFormat="1" applyFont="1" applyFill="1" applyBorder="1" applyAlignment="1">
      <alignment horizontal="justify" vertical="center"/>
    </xf>
    <xf numFmtId="0" fontId="84" fillId="33" borderId="6" xfId="0" applyFont="1" applyFill="1" applyBorder="1" applyAlignment="1">
      <alignment horizontal="justify" vertical="center" wrapText="1"/>
    </xf>
    <xf numFmtId="0" fontId="84" fillId="33" borderId="7" xfId="0" applyFont="1" applyFill="1" applyBorder="1" applyAlignment="1">
      <alignment horizontal="justify" vertical="center" wrapText="1"/>
    </xf>
    <xf numFmtId="0" fontId="48" fillId="33" borderId="6" xfId="0" applyFont="1" applyFill="1" applyBorder="1" applyAlignment="1">
      <alignment horizontal="justify" vertical="center" textRotation="90" wrapText="1"/>
    </xf>
    <xf numFmtId="0" fontId="48" fillId="33" borderId="7" xfId="0" applyFont="1" applyFill="1" applyBorder="1" applyAlignment="1">
      <alignment horizontal="justify" vertical="center" textRotation="90" wrapText="1"/>
    </xf>
    <xf numFmtId="166" fontId="47" fillId="19" borderId="36" xfId="0" applyNumberFormat="1" applyFont="1" applyFill="1" applyBorder="1" applyAlignment="1">
      <alignment horizontal="center" vertical="center"/>
    </xf>
    <xf numFmtId="166" fontId="48" fillId="19" borderId="17" xfId="0" applyNumberFormat="1" applyFont="1" applyFill="1" applyBorder="1" applyAlignment="1">
      <alignment horizontal="justify" vertical="center" wrapText="1"/>
    </xf>
    <xf numFmtId="166" fontId="83" fillId="19" borderId="20" xfId="0" applyNumberFormat="1" applyFont="1" applyFill="1" applyBorder="1" applyAlignment="1">
      <alignment horizontal="justify" vertical="center" wrapText="1"/>
    </xf>
    <xf numFmtId="166" fontId="83" fillId="19" borderId="20" xfId="0" applyNumberFormat="1" applyFont="1" applyFill="1" applyBorder="1" applyAlignment="1">
      <alignment horizontal="justify" vertical="center"/>
    </xf>
    <xf numFmtId="49" fontId="48" fillId="23" borderId="9" xfId="0" applyNumberFormat="1" applyFont="1" applyFill="1" applyBorder="1" applyAlignment="1">
      <alignment horizontal="justify" vertical="center"/>
    </xf>
    <xf numFmtId="49" fontId="48" fillId="23" borderId="6" xfId="0" applyNumberFormat="1" applyFont="1" applyFill="1" applyBorder="1" applyAlignment="1">
      <alignment horizontal="justify" vertical="center"/>
    </xf>
    <xf numFmtId="49" fontId="47" fillId="23" borderId="18" xfId="0" applyNumberFormat="1" applyFont="1" applyFill="1" applyBorder="1" applyAlignment="1">
      <alignment horizontal="justify" vertical="center" wrapText="1"/>
    </xf>
    <xf numFmtId="49" fontId="48" fillId="23" borderId="18" xfId="0" applyNumberFormat="1" applyFont="1" applyFill="1" applyBorder="1" applyAlignment="1">
      <alignment horizontal="justify" vertical="center" textRotation="90"/>
    </xf>
    <xf numFmtId="49" fontId="48" fillId="23" borderId="12" xfId="0" applyNumberFormat="1" applyFont="1" applyFill="1" applyBorder="1" applyAlignment="1">
      <alignment horizontal="justify" vertical="center" textRotation="90"/>
    </xf>
    <xf numFmtId="166" fontId="47" fillId="23" borderId="24" xfId="0" applyNumberFormat="1" applyFont="1" applyFill="1" applyBorder="1" applyAlignment="1">
      <alignment horizontal="center" vertical="center"/>
    </xf>
    <xf numFmtId="166" fontId="47" fillId="23" borderId="25" xfId="0" applyNumberFormat="1" applyFont="1" applyFill="1" applyBorder="1" applyAlignment="1">
      <alignment horizontal="center" vertical="center"/>
    </xf>
    <xf numFmtId="166" fontId="48" fillId="23" borderId="18" xfId="0" applyNumberFormat="1" applyFont="1" applyFill="1" applyBorder="1" applyAlignment="1">
      <alignment horizontal="justify" vertical="center" wrapText="1"/>
    </xf>
    <xf numFmtId="166" fontId="48" fillId="23" borderId="12" xfId="0" applyNumberFormat="1" applyFont="1" applyFill="1" applyBorder="1" applyAlignment="1">
      <alignment horizontal="justify" vertical="center"/>
    </xf>
    <xf numFmtId="49" fontId="48" fillId="0" borderId="23" xfId="0" applyNumberFormat="1" applyFont="1" applyBorder="1" applyAlignment="1">
      <alignment horizontal="left" vertical="top" wrapText="1"/>
    </xf>
    <xf numFmtId="49" fontId="48" fillId="0" borderId="24" xfId="0" applyNumberFormat="1" applyFont="1" applyBorder="1" applyAlignment="1">
      <alignment horizontal="left" vertical="top" wrapText="1"/>
    </xf>
    <xf numFmtId="49" fontId="48" fillId="0" borderId="38" xfId="0" applyNumberFormat="1" applyFont="1" applyBorder="1" applyAlignment="1">
      <alignment horizontal="left" vertical="top" wrapText="1"/>
    </xf>
    <xf numFmtId="49" fontId="48" fillId="0" borderId="36" xfId="0" applyNumberFormat="1" applyFont="1" applyBorder="1" applyAlignment="1">
      <alignment horizontal="left" vertical="top" wrapText="1"/>
    </xf>
    <xf numFmtId="49" fontId="48" fillId="0" borderId="29" xfId="0" applyNumberFormat="1" applyFont="1" applyBorder="1" applyAlignment="1">
      <alignment horizontal="left" vertical="top" wrapText="1"/>
    </xf>
    <xf numFmtId="49" fontId="48" fillId="0" borderId="25" xfId="0" applyNumberFormat="1" applyFont="1" applyBorder="1" applyAlignment="1">
      <alignment horizontal="left" vertical="top" wrapText="1"/>
    </xf>
    <xf numFmtId="49" fontId="47" fillId="0" borderId="23" xfId="0" applyNumberFormat="1" applyFont="1" applyBorder="1" applyAlignment="1">
      <alignment horizontal="center" vertical="top" wrapText="1"/>
    </xf>
    <xf numFmtId="49" fontId="47" fillId="0" borderId="24" xfId="0" applyNumberFormat="1" applyFont="1" applyBorder="1" applyAlignment="1">
      <alignment horizontal="center" vertical="top" wrapText="1"/>
    </xf>
    <xf numFmtId="49" fontId="47" fillId="0" borderId="29" xfId="0" applyNumberFormat="1" applyFont="1" applyBorder="1" applyAlignment="1">
      <alignment horizontal="center" vertical="top" wrapText="1"/>
    </xf>
    <xf numFmtId="49" fontId="47" fillId="0" borderId="25" xfId="0" applyNumberFormat="1" applyFont="1" applyBorder="1" applyAlignment="1">
      <alignment horizontal="center" vertical="top" wrapText="1"/>
    </xf>
    <xf numFmtId="0" fontId="47" fillId="23" borderId="13" xfId="0" applyFont="1" applyFill="1" applyBorder="1" applyAlignment="1">
      <alignment horizontal="center" vertical="top"/>
    </xf>
    <xf numFmtId="0" fontId="47" fillId="23" borderId="15" xfId="0" applyFont="1" applyFill="1" applyBorder="1" applyAlignment="1">
      <alignment horizontal="center" vertical="top"/>
    </xf>
    <xf numFmtId="166" fontId="84" fillId="19" borderId="18" xfId="0" applyNumberFormat="1" applyFont="1" applyFill="1" applyBorder="1" applyAlignment="1">
      <alignment horizontal="justify" vertical="center" wrapText="1"/>
    </xf>
    <xf numFmtId="166" fontId="47" fillId="19" borderId="12" xfId="0" applyNumberFormat="1" applyFont="1" applyFill="1" applyBorder="1" applyAlignment="1">
      <alignment horizontal="justify" vertical="center"/>
    </xf>
    <xf numFmtId="49" fontId="48" fillId="19" borderId="12" xfId="0" applyNumberFormat="1" applyFont="1" applyFill="1" applyBorder="1" applyAlignment="1">
      <alignment horizontal="justify" vertical="center" wrapText="1"/>
    </xf>
    <xf numFmtId="49" fontId="48" fillId="19" borderId="23" xfId="0" applyNumberFormat="1" applyFont="1" applyFill="1" applyBorder="1" applyAlignment="1">
      <alignment horizontal="center" vertical="top" wrapText="1"/>
    </xf>
    <xf numFmtId="49" fontId="48" fillId="19" borderId="24" xfId="0" applyNumberFormat="1" applyFont="1" applyFill="1" applyBorder="1" applyAlignment="1">
      <alignment horizontal="center" vertical="top" wrapText="1"/>
    </xf>
    <xf numFmtId="49" fontId="48" fillId="19" borderId="29" xfId="0" applyNumberFormat="1" applyFont="1" applyFill="1" applyBorder="1" applyAlignment="1">
      <alignment horizontal="center" vertical="top" wrapText="1"/>
    </xf>
    <xf numFmtId="49" fontId="48" fillId="19" borderId="25" xfId="0" applyNumberFormat="1" applyFont="1" applyFill="1" applyBorder="1" applyAlignment="1">
      <alignment horizontal="center" vertical="top" wrapText="1"/>
    </xf>
    <xf numFmtId="166" fontId="48" fillId="19" borderId="12" xfId="0" applyNumberFormat="1" applyFont="1" applyFill="1" applyBorder="1" applyAlignment="1">
      <alignment horizontal="justify" vertical="center" wrapText="1"/>
    </xf>
    <xf numFmtId="166" fontId="48" fillId="19" borderId="12" xfId="0" applyNumberFormat="1" applyFont="1" applyFill="1" applyBorder="1" applyAlignment="1">
      <alignment horizontal="justify" vertical="center"/>
    </xf>
    <xf numFmtId="0" fontId="48" fillId="0" borderId="23" xfId="0" applyFont="1" applyBorder="1" applyAlignment="1">
      <alignment horizontal="center" vertical="center" wrapText="1"/>
    </xf>
    <xf numFmtId="0" fontId="48" fillId="0" borderId="24" xfId="0" applyFont="1" applyBorder="1" applyAlignment="1">
      <alignment horizontal="center" vertical="center" wrapText="1"/>
    </xf>
    <xf numFmtId="0" fontId="48" fillId="0" borderId="38" xfId="0" applyFont="1" applyBorder="1" applyAlignment="1">
      <alignment horizontal="center" vertical="center" wrapText="1"/>
    </xf>
    <xf numFmtId="0" fontId="48" fillId="0" borderId="36" xfId="0" applyFont="1" applyBorder="1" applyAlignment="1">
      <alignment horizontal="center" vertical="center" wrapText="1"/>
    </xf>
    <xf numFmtId="0" fontId="48" fillId="0" borderId="29" xfId="0" applyFont="1" applyBorder="1" applyAlignment="1">
      <alignment horizontal="center" vertical="center" wrapText="1"/>
    </xf>
    <xf numFmtId="0" fontId="48" fillId="0" borderId="25" xfId="0" applyFont="1" applyBorder="1" applyAlignment="1">
      <alignment horizontal="center" vertical="center" wrapText="1"/>
    </xf>
    <xf numFmtId="0" fontId="47" fillId="33" borderId="6" xfId="0" applyFont="1" applyFill="1" applyBorder="1" applyAlignment="1">
      <alignment horizontal="justify" vertical="center" wrapText="1"/>
    </xf>
    <xf numFmtId="166" fontId="48" fillId="19" borderId="18" xfId="0" applyNumberFormat="1" applyFont="1" applyFill="1" applyBorder="1" applyAlignment="1">
      <alignment horizontal="justify" vertical="center"/>
    </xf>
    <xf numFmtId="49" fontId="48" fillId="0" borderId="23" xfId="0" applyNumberFormat="1" applyFont="1" applyBorder="1" applyAlignment="1">
      <alignment horizontal="center" vertical="top" wrapText="1"/>
    </xf>
    <xf numFmtId="49" fontId="48" fillId="0" borderId="24" xfId="0" applyNumberFormat="1" applyFont="1" applyBorder="1" applyAlignment="1">
      <alignment horizontal="center" vertical="top" wrapText="1"/>
    </xf>
    <xf numFmtId="49" fontId="48" fillId="0" borderId="38" xfId="0" applyNumberFormat="1" applyFont="1" applyBorder="1" applyAlignment="1">
      <alignment horizontal="center" vertical="top" wrapText="1"/>
    </xf>
    <xf numFmtId="49" fontId="48" fillId="0" borderId="36" xfId="0" applyNumberFormat="1" applyFont="1" applyBorder="1" applyAlignment="1">
      <alignment horizontal="center" vertical="top" wrapText="1"/>
    </xf>
    <xf numFmtId="49" fontId="48" fillId="0" borderId="29" xfId="0" applyNumberFormat="1" applyFont="1" applyBorder="1" applyAlignment="1">
      <alignment horizontal="center" vertical="top" wrapText="1"/>
    </xf>
    <xf numFmtId="49" fontId="48" fillId="0" borderId="25" xfId="0" applyNumberFormat="1" applyFont="1" applyBorder="1" applyAlignment="1">
      <alignment horizontal="center" vertical="top" wrapText="1"/>
    </xf>
    <xf numFmtId="0" fontId="47" fillId="23" borderId="13" xfId="0" applyFont="1" applyFill="1" applyBorder="1" applyAlignment="1">
      <alignment horizontal="left" vertical="top" wrapText="1"/>
    </xf>
    <xf numFmtId="0" fontId="47" fillId="23" borderId="15" xfId="0" applyFont="1" applyFill="1" applyBorder="1" applyAlignment="1">
      <alignment horizontal="left" vertical="top"/>
    </xf>
    <xf numFmtId="49" fontId="83" fillId="20" borderId="6" xfId="0" applyNumberFormat="1" applyFont="1" applyFill="1" applyBorder="1" applyAlignment="1">
      <alignment horizontal="justify" vertical="center"/>
    </xf>
    <xf numFmtId="0" fontId="83" fillId="21" borderId="6" xfId="0" applyFont="1" applyFill="1" applyBorder="1" applyAlignment="1">
      <alignment horizontal="justify" vertical="center" wrapText="1"/>
    </xf>
    <xf numFmtId="0" fontId="83" fillId="21" borderId="8" xfId="0" applyFont="1" applyFill="1" applyBorder="1" applyAlignment="1">
      <alignment horizontal="justify" vertical="center" textRotation="90" wrapText="1"/>
    </xf>
    <xf numFmtId="166" fontId="83" fillId="20" borderId="17" xfId="0" applyNumberFormat="1" applyFont="1" applyFill="1" applyBorder="1" applyAlignment="1">
      <alignment horizontal="justify" vertical="center" wrapText="1"/>
    </xf>
    <xf numFmtId="166" fontId="83" fillId="20" borderId="20" xfId="0" applyNumberFormat="1" applyFont="1" applyFill="1" applyBorder="1" applyAlignment="1">
      <alignment horizontal="justify" vertical="center" wrapText="1"/>
    </xf>
    <xf numFmtId="166" fontId="83" fillId="20" borderId="18" xfId="0" applyNumberFormat="1" applyFont="1" applyFill="1" applyBorder="1" applyAlignment="1">
      <alignment horizontal="justify" vertical="center"/>
    </xf>
    <xf numFmtId="49" fontId="83" fillId="20" borderId="18" xfId="0" applyNumberFormat="1" applyFont="1" applyFill="1" applyBorder="1" applyAlignment="1">
      <alignment horizontal="justify" vertical="center" wrapText="1"/>
    </xf>
    <xf numFmtId="49" fontId="83" fillId="20" borderId="12" xfId="0" applyNumberFormat="1" applyFont="1" applyFill="1" applyBorder="1" applyAlignment="1">
      <alignment horizontal="justify" vertical="center" wrapText="1"/>
    </xf>
    <xf numFmtId="49" fontId="84" fillId="20" borderId="18" xfId="0" applyNumberFormat="1" applyFont="1" applyFill="1" applyBorder="1" applyAlignment="1">
      <alignment horizontal="justify" vertical="center" wrapText="1"/>
    </xf>
    <xf numFmtId="49" fontId="84" fillId="20" borderId="12" xfId="0" applyNumberFormat="1" applyFont="1" applyFill="1" applyBorder="1" applyAlignment="1">
      <alignment horizontal="justify" vertical="center" wrapText="1"/>
    </xf>
    <xf numFmtId="49" fontId="84" fillId="20" borderId="17" xfId="0" applyNumberFormat="1" applyFont="1" applyFill="1" applyBorder="1" applyAlignment="1">
      <alignment horizontal="justify" vertical="center" wrapText="1"/>
    </xf>
    <xf numFmtId="49" fontId="84" fillId="20" borderId="20" xfId="0" applyNumberFormat="1" applyFont="1" applyFill="1" applyBorder="1" applyAlignment="1">
      <alignment horizontal="justify" vertical="center" wrapText="1"/>
    </xf>
    <xf numFmtId="49" fontId="83" fillId="20" borderId="7" xfId="0" applyNumberFormat="1" applyFont="1" applyFill="1" applyBorder="1" applyAlignment="1">
      <alignment horizontal="justify" vertical="center"/>
    </xf>
    <xf numFmtId="49" fontId="83" fillId="20" borderId="16" xfId="0" applyNumberFormat="1" applyFont="1" applyFill="1" applyBorder="1" applyAlignment="1">
      <alignment horizontal="justify" vertical="center"/>
    </xf>
    <xf numFmtId="49" fontId="83" fillId="20" borderId="9" xfId="0" applyNumberFormat="1" applyFont="1" applyFill="1" applyBorder="1" applyAlignment="1">
      <alignment horizontal="justify" vertical="center"/>
    </xf>
    <xf numFmtId="0" fontId="83" fillId="21" borderId="7" xfId="0" applyFont="1" applyFill="1" applyBorder="1" applyAlignment="1">
      <alignment horizontal="justify" vertical="center" wrapText="1"/>
    </xf>
    <xf numFmtId="0" fontId="83" fillId="21" borderId="16" xfId="0" applyFont="1" applyFill="1" applyBorder="1" applyAlignment="1">
      <alignment horizontal="justify" vertical="center" wrapText="1"/>
    </xf>
    <xf numFmtId="0" fontId="83" fillId="21" borderId="9" xfId="0" applyFont="1" applyFill="1" applyBorder="1" applyAlignment="1">
      <alignment horizontal="justify" vertical="center" wrapText="1"/>
    </xf>
    <xf numFmtId="0" fontId="83" fillId="21" borderId="21" xfId="0" applyFont="1" applyFill="1" applyBorder="1" applyAlignment="1">
      <alignment horizontal="justify" vertical="center" textRotation="90" wrapText="1"/>
    </xf>
    <xf numFmtId="0" fontId="83" fillId="21" borderId="19" xfId="0" applyFont="1" applyFill="1" applyBorder="1" applyAlignment="1">
      <alignment horizontal="justify" vertical="center" textRotation="90" wrapText="1"/>
    </xf>
    <xf numFmtId="0" fontId="83" fillId="21" borderId="14" xfId="0" applyFont="1" applyFill="1" applyBorder="1" applyAlignment="1">
      <alignment horizontal="justify" vertical="center" textRotation="90" wrapText="1"/>
    </xf>
    <xf numFmtId="166" fontId="83" fillId="20" borderId="18" xfId="0" applyNumberFormat="1" applyFont="1" applyFill="1" applyBorder="1" applyAlignment="1">
      <alignment horizontal="justify" vertical="center" wrapText="1"/>
    </xf>
    <xf numFmtId="49" fontId="83" fillId="20" borderId="17" xfId="0" applyNumberFormat="1" applyFont="1" applyFill="1" applyBorder="1" applyAlignment="1">
      <alignment horizontal="justify" vertical="center" wrapText="1"/>
    </xf>
    <xf numFmtId="49" fontId="83" fillId="20" borderId="20" xfId="0" applyNumberFormat="1" applyFont="1" applyFill="1" applyBorder="1" applyAlignment="1">
      <alignment horizontal="justify" vertical="center" wrapText="1"/>
    </xf>
    <xf numFmtId="49" fontId="48" fillId="38" borderId="6" xfId="0" applyNumberFormat="1" applyFont="1" applyFill="1" applyBorder="1" applyAlignment="1">
      <alignment horizontal="justify" vertical="center"/>
    </xf>
    <xf numFmtId="49" fontId="48" fillId="38" borderId="7" xfId="0" applyNumberFormat="1" applyFont="1" applyFill="1" applyBorder="1" applyAlignment="1">
      <alignment horizontal="justify" vertical="center"/>
    </xf>
    <xf numFmtId="0" fontId="49" fillId="39" borderId="6" xfId="0" applyFont="1" applyFill="1" applyBorder="1" applyAlignment="1">
      <alignment horizontal="justify" vertical="center" wrapText="1"/>
    </xf>
    <xf numFmtId="0" fontId="48" fillId="39" borderId="6" xfId="0" applyFont="1" applyFill="1" applyBorder="1" applyAlignment="1">
      <alignment horizontal="justify" vertical="center" wrapText="1"/>
    </xf>
    <xf numFmtId="0" fontId="48" fillId="39" borderId="7" xfId="0" applyFont="1" applyFill="1" applyBorder="1" applyAlignment="1">
      <alignment horizontal="justify" vertical="center" wrapText="1"/>
    </xf>
    <xf numFmtId="0" fontId="48" fillId="25" borderId="6" xfId="0" applyFont="1" applyFill="1" applyBorder="1" applyAlignment="1">
      <alignment horizontal="justify" vertical="center" wrapText="1"/>
    </xf>
    <xf numFmtId="0" fontId="48" fillId="25" borderId="8" xfId="0" applyFont="1" applyFill="1" applyBorder="1" applyAlignment="1">
      <alignment horizontal="justify" vertical="center" textRotation="90" wrapText="1"/>
    </xf>
    <xf numFmtId="0" fontId="48" fillId="25" borderId="6" xfId="0" applyFont="1" applyFill="1" applyBorder="1" applyAlignment="1">
      <alignment horizontal="justify" vertical="center" textRotation="90" wrapText="1"/>
    </xf>
    <xf numFmtId="166" fontId="48" fillId="24" borderId="18" xfId="0" applyNumberFormat="1" applyFont="1" applyFill="1" applyBorder="1" applyAlignment="1">
      <alignment horizontal="justify" vertical="center"/>
    </xf>
    <xf numFmtId="49" fontId="48" fillId="24" borderId="13" xfId="0" applyNumberFormat="1" applyFont="1" applyFill="1" applyBorder="1" applyAlignment="1">
      <alignment horizontal="justify" vertical="center" wrapText="1"/>
    </xf>
    <xf numFmtId="0" fontId="47" fillId="33" borderId="7" xfId="0" applyFont="1" applyFill="1" applyBorder="1" applyAlignment="1">
      <alignment horizontal="justify" vertical="center" wrapText="1"/>
    </xf>
    <xf numFmtId="49" fontId="47" fillId="19" borderId="12" xfId="0" applyNumberFormat="1" applyFont="1" applyFill="1" applyBorder="1" applyAlignment="1">
      <alignment horizontal="center" vertical="top" wrapText="1"/>
    </xf>
    <xf numFmtId="49" fontId="47" fillId="19" borderId="23" xfId="0" applyNumberFormat="1" applyFont="1" applyFill="1" applyBorder="1" applyAlignment="1">
      <alignment horizontal="center" vertical="top" wrapText="1"/>
    </xf>
    <xf numFmtId="49" fontId="47" fillId="19" borderId="24" xfId="0" applyNumberFormat="1" applyFont="1" applyFill="1" applyBorder="1" applyAlignment="1">
      <alignment horizontal="center" vertical="top" wrapText="1"/>
    </xf>
    <xf numFmtId="49" fontId="47" fillId="19" borderId="38" xfId="0" applyNumberFormat="1" applyFont="1" applyFill="1" applyBorder="1" applyAlignment="1">
      <alignment horizontal="center" vertical="top" wrapText="1"/>
    </xf>
    <xf numFmtId="49" fontId="47" fillId="19" borderId="36" xfId="0" applyNumberFormat="1" applyFont="1" applyFill="1" applyBorder="1" applyAlignment="1">
      <alignment horizontal="center" vertical="top" wrapText="1"/>
    </xf>
    <xf numFmtId="49" fontId="48" fillId="0" borderId="12" xfId="0" applyNumberFormat="1" applyFont="1" applyBorder="1" applyAlignment="1">
      <alignment horizontal="center" vertical="top" wrapText="1"/>
    </xf>
    <xf numFmtId="0" fontId="47" fillId="19" borderId="6" xfId="0" applyFont="1" applyFill="1" applyBorder="1" applyAlignment="1">
      <alignment horizontal="justify" vertical="center" wrapText="1"/>
    </xf>
    <xf numFmtId="0" fontId="47" fillId="19" borderId="7" xfId="0" applyFont="1" applyFill="1" applyBorder="1" applyAlignment="1">
      <alignment horizontal="justify" vertical="center" wrapText="1"/>
    </xf>
    <xf numFmtId="0" fontId="48" fillId="19" borderId="6" xfId="0" applyFont="1" applyFill="1" applyBorder="1" applyAlignment="1">
      <alignment horizontal="justify" vertical="center" textRotation="90" wrapText="1"/>
    </xf>
    <xf numFmtId="0" fontId="48" fillId="19" borderId="7" xfId="0" applyFont="1" applyFill="1" applyBorder="1" applyAlignment="1">
      <alignment horizontal="justify" vertical="center" textRotation="90" wrapText="1"/>
    </xf>
    <xf numFmtId="166" fontId="48" fillId="19" borderId="20" xfId="0" applyNumberFormat="1" applyFont="1" applyFill="1" applyBorder="1" applyAlignment="1">
      <alignment horizontal="justify" vertical="center" wrapText="1"/>
    </xf>
    <xf numFmtId="166" fontId="48" fillId="19" borderId="20" xfId="0" applyNumberFormat="1" applyFont="1" applyFill="1" applyBorder="1" applyAlignment="1">
      <alignment horizontal="justify" vertical="center"/>
    </xf>
    <xf numFmtId="49" fontId="47" fillId="20" borderId="12" xfId="0" applyNumberFormat="1" applyFont="1" applyFill="1" applyBorder="1" applyAlignment="1">
      <alignment horizontal="center" vertical="top" wrapText="1"/>
    </xf>
    <xf numFmtId="0" fontId="49" fillId="25" borderId="12" xfId="0" applyFont="1" applyFill="1" applyBorder="1" applyAlignment="1">
      <alignment horizontal="justify" vertical="center" wrapText="1"/>
    </xf>
    <xf numFmtId="0" fontId="96" fillId="25" borderId="12" xfId="0" applyFont="1" applyFill="1" applyBorder="1" applyAlignment="1">
      <alignment horizontal="justify" vertical="center" textRotation="90" wrapText="1"/>
    </xf>
    <xf numFmtId="166" fontId="49" fillId="24" borderId="12" xfId="0" applyNumberFormat="1" applyFont="1" applyFill="1" applyBorder="1" applyAlignment="1">
      <alignment horizontal="center" vertical="center"/>
    </xf>
    <xf numFmtId="49" fontId="48" fillId="19" borderId="12" xfId="0" applyNumberFormat="1" applyFont="1" applyFill="1" applyBorder="1" applyAlignment="1">
      <alignment horizontal="center" vertical="center" wrapText="1"/>
    </xf>
    <xf numFmtId="0" fontId="47" fillId="23" borderId="13" xfId="0" applyFont="1" applyFill="1" applyBorder="1" applyAlignment="1">
      <alignment vertical="top" wrapText="1"/>
    </xf>
    <xf numFmtId="0" fontId="47" fillId="23" borderId="15" xfId="0" applyFont="1" applyFill="1" applyBorder="1" applyAlignment="1">
      <alignment vertical="top"/>
    </xf>
    <xf numFmtId="49" fontId="47" fillId="0" borderId="76" xfId="0" applyNumberFormat="1" applyFont="1" applyBorder="1" applyAlignment="1">
      <alignment horizontal="justify" vertical="center" wrapText="1"/>
    </xf>
    <xf numFmtId="49" fontId="108" fillId="0" borderId="18" xfId="0" applyNumberFormat="1" applyFont="1" applyBorder="1" applyAlignment="1">
      <alignment horizontal="justify" vertical="center" wrapText="1"/>
    </xf>
    <xf numFmtId="49" fontId="108" fillId="0" borderId="12" xfId="0" applyNumberFormat="1" applyFont="1" applyBorder="1" applyAlignment="1">
      <alignment horizontal="justify" vertical="center" wrapText="1"/>
    </xf>
    <xf numFmtId="49" fontId="47" fillId="24" borderId="20" xfId="0" applyNumberFormat="1" applyFont="1" applyFill="1" applyBorder="1" applyAlignment="1">
      <alignment horizontal="center" vertical="center" wrapText="1"/>
    </xf>
    <xf numFmtId="49" fontId="47" fillId="24" borderId="18" xfId="0" applyNumberFormat="1" applyFont="1" applyFill="1" applyBorder="1" applyAlignment="1">
      <alignment horizontal="center" vertical="center" wrapText="1"/>
    </xf>
    <xf numFmtId="166" fontId="48" fillId="24" borderId="12" xfId="0" applyNumberFormat="1" applyFont="1" applyFill="1" applyBorder="1" applyAlignment="1">
      <alignment horizontal="justify" vertical="center"/>
    </xf>
    <xf numFmtId="49" fontId="47" fillId="24" borderId="12" xfId="0" applyNumberFormat="1" applyFont="1" applyFill="1" applyBorder="1" applyAlignment="1">
      <alignment horizontal="justify" vertical="center" wrapText="1"/>
    </xf>
    <xf numFmtId="49" fontId="48" fillId="24" borderId="18" xfId="0" applyNumberFormat="1" applyFont="1" applyFill="1" applyBorder="1" applyAlignment="1">
      <alignment horizontal="justify" vertical="center" wrapText="1"/>
    </xf>
    <xf numFmtId="49" fontId="48" fillId="24" borderId="12" xfId="0" applyNumberFormat="1" applyFont="1" applyFill="1" applyBorder="1" applyAlignment="1">
      <alignment horizontal="justify" vertical="center" wrapText="1"/>
    </xf>
    <xf numFmtId="49" fontId="48" fillId="24" borderId="17" xfId="0" applyNumberFormat="1" applyFont="1" applyFill="1" applyBorder="1" applyAlignment="1">
      <alignment horizontal="justify" vertical="center" wrapText="1"/>
    </xf>
    <xf numFmtId="49" fontId="48" fillId="24" borderId="20" xfId="0" applyNumberFormat="1" applyFont="1" applyFill="1" applyBorder="1" applyAlignment="1">
      <alignment horizontal="justify" vertical="center" wrapText="1"/>
    </xf>
    <xf numFmtId="49" fontId="48" fillId="24" borderId="18" xfId="0" applyNumberFormat="1" applyFont="1" applyFill="1" applyBorder="1" applyAlignment="1">
      <alignment horizontal="justify" vertical="center" textRotation="90"/>
    </xf>
    <xf numFmtId="49" fontId="48" fillId="24" borderId="12" xfId="0" applyNumberFormat="1" applyFont="1" applyFill="1" applyBorder="1" applyAlignment="1">
      <alignment horizontal="justify" vertical="center" textRotation="90"/>
    </xf>
    <xf numFmtId="49" fontId="47" fillId="0" borderId="23" xfId="0" applyNumberFormat="1" applyFont="1" applyBorder="1" applyAlignment="1">
      <alignment horizontal="center" vertical="center" wrapText="1"/>
    </xf>
    <xf numFmtId="49" fontId="47" fillId="0" borderId="24" xfId="0" applyNumberFormat="1" applyFont="1" applyBorder="1" applyAlignment="1">
      <alignment horizontal="center" vertical="center" wrapText="1"/>
    </xf>
    <xf numFmtId="49" fontId="47" fillId="0" borderId="38" xfId="0" applyNumberFormat="1" applyFont="1" applyBorder="1" applyAlignment="1">
      <alignment horizontal="center" vertical="center" wrapText="1"/>
    </xf>
    <xf numFmtId="49" fontId="47" fillId="0" borderId="36" xfId="0" applyNumberFormat="1" applyFont="1" applyBorder="1" applyAlignment="1">
      <alignment horizontal="center" vertical="center" wrapText="1"/>
    </xf>
    <xf numFmtId="49" fontId="47" fillId="0" borderId="29" xfId="0" applyNumberFormat="1" applyFont="1" applyBorder="1" applyAlignment="1">
      <alignment horizontal="center" vertical="center" wrapText="1"/>
    </xf>
    <xf numFmtId="49" fontId="47" fillId="0" borderId="25" xfId="0" applyNumberFormat="1" applyFont="1" applyBorder="1" applyAlignment="1">
      <alignment horizontal="center" vertical="center" wrapText="1"/>
    </xf>
    <xf numFmtId="49" fontId="48" fillId="19" borderId="20" xfId="0" applyNumberFormat="1" applyFont="1" applyFill="1" applyBorder="1" applyAlignment="1">
      <alignment horizontal="justify" vertical="center" wrapText="1"/>
    </xf>
    <xf numFmtId="49" fontId="47" fillId="18" borderId="18" xfId="0" applyNumberFormat="1" applyFont="1" applyFill="1" applyBorder="1" applyAlignment="1">
      <alignment horizontal="justify" vertical="center" wrapText="1"/>
    </xf>
    <xf numFmtId="49" fontId="47" fillId="18" borderId="12" xfId="0" applyNumberFormat="1" applyFont="1" applyFill="1" applyBorder="1" applyAlignment="1">
      <alignment horizontal="justify" vertical="center" wrapText="1"/>
    </xf>
    <xf numFmtId="49" fontId="47" fillId="23" borderId="12" xfId="0" applyNumberFormat="1" applyFont="1" applyFill="1" applyBorder="1" applyAlignment="1">
      <alignment vertical="top" wrapText="1"/>
    </xf>
    <xf numFmtId="49" fontId="48" fillId="0" borderId="12" xfId="0" applyNumberFormat="1" applyFont="1" applyBorder="1" applyAlignment="1">
      <alignment vertical="center" wrapText="1"/>
    </xf>
    <xf numFmtId="0" fontId="96" fillId="24" borderId="13" xfId="0" applyFont="1" applyFill="1" applyBorder="1" applyAlignment="1">
      <alignment horizontal="left" vertical="top" wrapText="1"/>
    </xf>
    <xf numFmtId="0" fontId="96" fillId="24" borderId="27" xfId="0" applyFont="1" applyFill="1" applyBorder="1" applyAlignment="1">
      <alignment horizontal="left" vertical="top" wrapText="1"/>
    </xf>
    <xf numFmtId="0" fontId="96" fillId="24" borderId="15" xfId="0" applyFont="1" applyFill="1" applyBorder="1" applyAlignment="1">
      <alignment horizontal="left" vertical="top" wrapText="1"/>
    </xf>
    <xf numFmtId="0" fontId="43" fillId="0" borderId="0" xfId="0" applyFont="1" applyAlignment="1">
      <alignment horizontal="center" vertical="center"/>
    </xf>
    <xf numFmtId="0" fontId="48" fillId="39" borderId="8" xfId="0" applyFont="1" applyFill="1" applyBorder="1" applyAlignment="1">
      <alignment horizontal="justify" vertical="center" textRotation="90" wrapText="1"/>
    </xf>
    <xf numFmtId="0" fontId="48" fillId="39" borderId="7" xfId="0" applyFont="1" applyFill="1" applyBorder="1" applyAlignment="1">
      <alignment horizontal="justify" vertical="center" textRotation="90" wrapText="1"/>
    </xf>
    <xf numFmtId="166" fontId="48" fillId="38" borderId="17" xfId="0" applyNumberFormat="1" applyFont="1" applyFill="1" applyBorder="1" applyAlignment="1">
      <alignment horizontal="justify" vertical="center" wrapText="1"/>
    </xf>
    <xf numFmtId="166" fontId="48" fillId="38" borderId="20" xfId="0" applyNumberFormat="1" applyFont="1" applyFill="1" applyBorder="1" applyAlignment="1">
      <alignment horizontal="justify" vertical="center" wrapText="1"/>
    </xf>
    <xf numFmtId="166" fontId="48" fillId="38" borderId="18" xfId="0" applyNumberFormat="1" applyFont="1" applyFill="1" applyBorder="1" applyAlignment="1">
      <alignment horizontal="justify" vertical="center"/>
    </xf>
    <xf numFmtId="49" fontId="48" fillId="38" borderId="18" xfId="0" applyNumberFormat="1" applyFont="1" applyFill="1" applyBorder="1" applyAlignment="1">
      <alignment horizontal="justify" vertical="center" wrapText="1"/>
    </xf>
    <xf numFmtId="49" fontId="48" fillId="38" borderId="12" xfId="0" applyNumberFormat="1" applyFont="1" applyFill="1" applyBorder="1" applyAlignment="1">
      <alignment horizontal="justify" vertical="center" wrapText="1"/>
    </xf>
    <xf numFmtId="2" fontId="48" fillId="28" borderId="17" xfId="0" applyNumberFormat="1" applyFont="1" applyFill="1" applyBorder="1" applyAlignment="1">
      <alignment horizontal="justify" vertical="center" wrapText="1"/>
    </xf>
    <xf numFmtId="2" fontId="48" fillId="28" borderId="20" xfId="0" applyNumberFormat="1" applyFont="1" applyFill="1" applyBorder="1" applyAlignment="1">
      <alignment horizontal="justify" vertical="center" wrapText="1"/>
    </xf>
    <xf numFmtId="2" fontId="48" fillId="28" borderId="18" xfId="0" applyNumberFormat="1" applyFont="1" applyFill="1" applyBorder="1" applyAlignment="1">
      <alignment horizontal="justify" vertical="center" wrapText="1"/>
    </xf>
    <xf numFmtId="0" fontId="48" fillId="28" borderId="17" xfId="0" applyFont="1" applyFill="1" applyBorder="1" applyAlignment="1">
      <alignment horizontal="justify" vertical="center" wrapText="1"/>
    </xf>
    <xf numFmtId="0" fontId="48" fillId="28" borderId="20" xfId="0" applyFont="1" applyFill="1" applyBorder="1" applyAlignment="1">
      <alignment horizontal="justify" vertical="center" wrapText="1"/>
    </xf>
    <xf numFmtId="0" fontId="48" fillId="28" borderId="18" xfId="0" applyFont="1" applyFill="1" applyBorder="1" applyAlignment="1">
      <alignment horizontal="justify" vertical="center" wrapText="1"/>
    </xf>
    <xf numFmtId="49" fontId="48" fillId="28" borderId="17" xfId="0" applyNumberFormat="1" applyFont="1" applyFill="1" applyBorder="1" applyAlignment="1">
      <alignment horizontal="justify" vertical="center" wrapText="1"/>
    </xf>
    <xf numFmtId="1" fontId="48" fillId="0" borderId="17" xfId="0" applyNumberFormat="1" applyFont="1" applyBorder="1" applyAlignment="1">
      <alignment horizontal="justify" vertical="center"/>
    </xf>
    <xf numFmtId="1" fontId="48" fillId="0" borderId="18" xfId="0" applyNumberFormat="1" applyFont="1" applyBorder="1" applyAlignment="1">
      <alignment horizontal="justify" vertical="center"/>
    </xf>
    <xf numFmtId="49" fontId="47" fillId="31" borderId="17" xfId="0" applyNumberFormat="1" applyFont="1" applyFill="1" applyBorder="1" applyAlignment="1">
      <alignment horizontal="justify" vertical="center" wrapText="1"/>
    </xf>
    <xf numFmtId="49" fontId="47" fillId="31" borderId="20" xfId="0" applyNumberFormat="1" applyFont="1" applyFill="1" applyBorder="1" applyAlignment="1">
      <alignment horizontal="justify" vertical="center" wrapText="1"/>
    </xf>
    <xf numFmtId="49" fontId="47" fillId="31" borderId="18" xfId="0" applyNumberFormat="1" applyFont="1" applyFill="1" applyBorder="1" applyAlignment="1">
      <alignment horizontal="justify" vertical="center" wrapText="1"/>
    </xf>
    <xf numFmtId="49" fontId="84" fillId="0" borderId="17" xfId="0" applyNumberFormat="1" applyFont="1" applyBorder="1" applyAlignment="1">
      <alignment horizontal="justify" vertical="center" wrapText="1"/>
    </xf>
    <xf numFmtId="49" fontId="84" fillId="0" borderId="20" xfId="0" applyNumberFormat="1" applyFont="1" applyBorder="1" applyAlignment="1">
      <alignment horizontal="justify" vertical="center" wrapText="1"/>
    </xf>
    <xf numFmtId="166" fontId="48" fillId="29" borderId="12" xfId="0" applyNumberFormat="1" applyFont="1" applyFill="1" applyBorder="1" applyAlignment="1">
      <alignment horizontal="justify" vertical="center" wrapText="1"/>
    </xf>
    <xf numFmtId="166" fontId="48" fillId="29" borderId="12" xfId="0" applyNumberFormat="1" applyFont="1" applyFill="1" applyBorder="1" applyAlignment="1">
      <alignment horizontal="justify" vertical="center"/>
    </xf>
    <xf numFmtId="166" fontId="48" fillId="0" borderId="25" xfId="0" applyNumberFormat="1" applyFont="1" applyBorder="1" applyAlignment="1">
      <alignment horizontal="justify" vertical="center"/>
    </xf>
    <xf numFmtId="49" fontId="47" fillId="29" borderId="17" xfId="0" applyNumberFormat="1" applyFont="1" applyFill="1" applyBorder="1" applyAlignment="1">
      <alignment horizontal="justify" vertical="center" wrapText="1"/>
    </xf>
    <xf numFmtId="49" fontId="47" fillId="29" borderId="20" xfId="0" applyNumberFormat="1" applyFont="1" applyFill="1" applyBorder="1" applyAlignment="1">
      <alignment horizontal="justify" vertical="center" wrapText="1"/>
    </xf>
    <xf numFmtId="49" fontId="48" fillId="24" borderId="23" xfId="0" applyNumberFormat="1" applyFont="1" applyFill="1" applyBorder="1" applyAlignment="1">
      <alignment horizontal="justify" vertical="center" wrapText="1"/>
    </xf>
    <xf numFmtId="49" fontId="48" fillId="24" borderId="28" xfId="0" applyNumberFormat="1" applyFont="1" applyFill="1" applyBorder="1" applyAlignment="1">
      <alignment horizontal="justify" vertical="center" wrapText="1"/>
    </xf>
    <xf numFmtId="49" fontId="48" fillId="24" borderId="24" xfId="0" applyNumberFormat="1" applyFont="1" applyFill="1" applyBorder="1" applyAlignment="1">
      <alignment horizontal="justify" vertical="center" wrapText="1"/>
    </xf>
    <xf numFmtId="0" fontId="48" fillId="31" borderId="17" xfId="0" applyFont="1" applyFill="1" applyBorder="1" applyAlignment="1">
      <alignment horizontal="justify" vertical="center"/>
    </xf>
    <xf numFmtId="0" fontId="48" fillId="31" borderId="20" xfId="0" applyFont="1" applyFill="1" applyBorder="1" applyAlignment="1">
      <alignment horizontal="justify" vertical="center"/>
    </xf>
    <xf numFmtId="0" fontId="48" fillId="31" borderId="18" xfId="0" applyFont="1" applyFill="1" applyBorder="1" applyAlignment="1">
      <alignment horizontal="justify" vertical="center"/>
    </xf>
    <xf numFmtId="49" fontId="48" fillId="43" borderId="17" xfId="0" applyNumberFormat="1" applyFont="1" applyFill="1" applyBorder="1" applyAlignment="1">
      <alignment horizontal="justify" vertical="center" wrapText="1"/>
    </xf>
    <xf numFmtId="49" fontId="48" fillId="43" borderId="20" xfId="0" applyNumberFormat="1" applyFont="1" applyFill="1" applyBorder="1" applyAlignment="1">
      <alignment horizontal="justify" vertical="center" wrapText="1"/>
    </xf>
    <xf numFmtId="49" fontId="104" fillId="24" borderId="23" xfId="0" applyNumberFormat="1" applyFont="1" applyFill="1" applyBorder="1" applyAlignment="1">
      <alignment horizontal="justify" vertical="center" wrapText="1"/>
    </xf>
    <xf numFmtId="49" fontId="104" fillId="24" borderId="28" xfId="0" applyNumberFormat="1" applyFont="1" applyFill="1" applyBorder="1" applyAlignment="1">
      <alignment horizontal="justify" vertical="center" wrapText="1"/>
    </xf>
    <xf numFmtId="49" fontId="104" fillId="24" borderId="24" xfId="0" applyNumberFormat="1" applyFont="1" applyFill="1" applyBorder="1" applyAlignment="1">
      <alignment horizontal="justify" vertical="center" wrapText="1"/>
    </xf>
    <xf numFmtId="49" fontId="104" fillId="24" borderId="38" xfId="0" applyNumberFormat="1" applyFont="1" applyFill="1" applyBorder="1" applyAlignment="1">
      <alignment horizontal="justify" vertical="center" wrapText="1"/>
    </xf>
    <xf numFmtId="49" fontId="104" fillId="24" borderId="0" xfId="0" applyNumberFormat="1" applyFont="1" applyFill="1" applyAlignment="1">
      <alignment horizontal="justify" vertical="center" wrapText="1"/>
    </xf>
    <xf numFmtId="49" fontId="104" fillId="24" borderId="36" xfId="0" applyNumberFormat="1" applyFont="1" applyFill="1" applyBorder="1" applyAlignment="1">
      <alignment horizontal="justify" vertical="center" wrapText="1"/>
    </xf>
    <xf numFmtId="49" fontId="104" fillId="24" borderId="29" xfId="0" applyNumberFormat="1" applyFont="1" applyFill="1" applyBorder="1" applyAlignment="1">
      <alignment horizontal="justify" vertical="center" wrapText="1"/>
    </xf>
    <xf numFmtId="49" fontId="104" fillId="24" borderId="30" xfId="0" applyNumberFormat="1" applyFont="1" applyFill="1" applyBorder="1" applyAlignment="1">
      <alignment horizontal="justify" vertical="center" wrapText="1"/>
    </xf>
    <xf numFmtId="49" fontId="104" fillId="24" borderId="25" xfId="0" applyNumberFormat="1" applyFont="1" applyFill="1" applyBorder="1" applyAlignment="1">
      <alignment horizontal="justify" vertical="center" wrapText="1"/>
    </xf>
    <xf numFmtId="0" fontId="49" fillId="0" borderId="0" xfId="0" applyFont="1" applyAlignment="1">
      <alignment horizontal="center" vertical="center"/>
    </xf>
    <xf numFmtId="49" fontId="94" fillId="0" borderId="12" xfId="0" applyNumberFormat="1" applyFont="1" applyBorder="1" applyAlignment="1">
      <alignment horizontal="justify" vertical="center" wrapText="1"/>
    </xf>
    <xf numFmtId="49" fontId="48" fillId="43" borderId="18" xfId="0" applyNumberFormat="1" applyFont="1" applyFill="1" applyBorder="1" applyAlignment="1">
      <alignment horizontal="justify" vertical="center" wrapText="1"/>
    </xf>
    <xf numFmtId="49" fontId="84" fillId="31" borderId="17" xfId="0" applyNumberFormat="1" applyFont="1" applyFill="1" applyBorder="1" applyAlignment="1">
      <alignment horizontal="justify" vertical="center" wrapText="1"/>
    </xf>
    <xf numFmtId="49" fontId="84" fillId="31" borderId="18" xfId="0" applyNumberFormat="1" applyFont="1" applyFill="1" applyBorder="1" applyAlignment="1">
      <alignment horizontal="justify" vertical="center" wrapText="1"/>
    </xf>
    <xf numFmtId="0" fontId="48" fillId="41" borderId="6" xfId="0" applyFont="1" applyFill="1" applyBorder="1" applyAlignment="1">
      <alignment horizontal="justify" vertical="center" textRotation="90" wrapText="1"/>
    </xf>
    <xf numFmtId="49" fontId="48" fillId="29" borderId="17" xfId="0" applyNumberFormat="1" applyFont="1" applyFill="1" applyBorder="1" applyAlignment="1">
      <alignment horizontal="justify" vertical="center" wrapText="1"/>
    </xf>
    <xf numFmtId="49" fontId="48" fillId="29" borderId="20" xfId="0" applyNumberFormat="1" applyFont="1" applyFill="1" applyBorder="1" applyAlignment="1">
      <alignment horizontal="justify" vertical="center" wrapText="1"/>
    </xf>
    <xf numFmtId="49" fontId="48" fillId="29" borderId="18" xfId="0" applyNumberFormat="1" applyFont="1" applyFill="1" applyBorder="1" applyAlignment="1">
      <alignment horizontal="justify" vertical="center" wrapText="1"/>
    </xf>
    <xf numFmtId="0" fontId="48" fillId="29" borderId="6" xfId="0" applyFont="1" applyFill="1" applyBorder="1" applyAlignment="1">
      <alignment horizontal="justify" vertical="center" textRotation="90" wrapText="1"/>
    </xf>
    <xf numFmtId="49" fontId="48" fillId="29" borderId="6" xfId="0" applyNumberFormat="1" applyFont="1" applyFill="1" applyBorder="1" applyAlignment="1">
      <alignment horizontal="justify" vertical="center"/>
    </xf>
    <xf numFmtId="0" fontId="47" fillId="29" borderId="6" xfId="0" applyFont="1" applyFill="1" applyBorder="1" applyAlignment="1">
      <alignment horizontal="justify" vertical="center" wrapText="1"/>
    </xf>
    <xf numFmtId="1" fontId="47" fillId="29" borderId="17" xfId="0" applyNumberFormat="1" applyFont="1" applyFill="1" applyBorder="1" applyAlignment="1">
      <alignment horizontal="justify" vertical="center"/>
    </xf>
    <xf numFmtId="1" fontId="47" fillId="29" borderId="20" xfId="0" applyNumberFormat="1" applyFont="1" applyFill="1" applyBorder="1" applyAlignment="1">
      <alignment horizontal="justify" vertical="center"/>
    </xf>
    <xf numFmtId="49" fontId="47" fillId="29" borderId="8" xfId="0" applyNumberFormat="1" applyFont="1" applyFill="1" applyBorder="1" applyAlignment="1">
      <alignment horizontal="justify" vertical="center"/>
    </xf>
    <xf numFmtId="49" fontId="47" fillId="29" borderId="21" xfId="0" applyNumberFormat="1" applyFont="1" applyFill="1" applyBorder="1" applyAlignment="1">
      <alignment horizontal="justify" vertical="center"/>
    </xf>
    <xf numFmtId="49" fontId="47" fillId="30" borderId="12" xfId="0" applyNumberFormat="1" applyFont="1" applyFill="1" applyBorder="1" applyAlignment="1">
      <alignment horizontal="justify" vertical="center" wrapText="1"/>
    </xf>
    <xf numFmtId="49" fontId="47" fillId="30" borderId="17" xfId="0" applyNumberFormat="1" applyFont="1" applyFill="1" applyBorder="1" applyAlignment="1">
      <alignment horizontal="justify" vertical="center" wrapText="1"/>
    </xf>
    <xf numFmtId="0" fontId="48" fillId="30" borderId="12" xfId="0" applyFont="1" applyFill="1" applyBorder="1" applyAlignment="1">
      <alignment horizontal="justify" vertical="center" textRotation="90" wrapText="1"/>
    </xf>
    <xf numFmtId="0" fontId="48" fillId="30" borderId="17" xfId="0" applyFont="1" applyFill="1" applyBorder="1" applyAlignment="1">
      <alignment horizontal="justify" vertical="center" textRotation="90" wrapText="1"/>
    </xf>
    <xf numFmtId="49" fontId="47" fillId="0" borderId="16" xfId="0" applyNumberFormat="1" applyFont="1" applyBorder="1" applyAlignment="1">
      <alignment horizontal="justify" vertical="center" wrapText="1"/>
    </xf>
    <xf numFmtId="49" fontId="47" fillId="0" borderId="7" xfId="0" applyNumberFormat="1" applyFont="1" applyBorder="1" applyAlignment="1">
      <alignment horizontal="justify" vertical="center" wrapText="1"/>
    </xf>
    <xf numFmtId="0" fontId="48" fillId="0" borderId="14" xfId="0" applyFont="1" applyBorder="1" applyAlignment="1">
      <alignment horizontal="justify" vertical="center" textRotation="90" wrapText="1"/>
    </xf>
    <xf numFmtId="0" fontId="48" fillId="0" borderId="19" xfId="0" applyFont="1" applyBorder="1" applyAlignment="1">
      <alignment horizontal="justify" vertical="center" textRotation="90" wrapText="1"/>
    </xf>
    <xf numFmtId="0" fontId="48" fillId="0" borderId="17" xfId="0" applyFont="1" applyBorder="1" applyAlignment="1">
      <alignment horizontal="center" vertical="center" wrapText="1"/>
    </xf>
    <xf numFmtId="0" fontId="48" fillId="0" borderId="18" xfId="0" applyFont="1" applyBorder="1" applyAlignment="1">
      <alignment horizontal="center" vertical="center" wrapText="1"/>
    </xf>
    <xf numFmtId="0" fontId="33" fillId="0" borderId="0" xfId="0" applyFont="1" applyAlignment="1">
      <alignment horizontal="left" wrapText="1"/>
    </xf>
    <xf numFmtId="0" fontId="33" fillId="0" borderId="0" xfId="0" applyFont="1" applyAlignment="1">
      <alignment horizontal="left"/>
    </xf>
    <xf numFmtId="0" fontId="48" fillId="0" borderId="0" xfId="0" applyFont="1" applyAlignment="1">
      <alignment horizontal="left"/>
    </xf>
    <xf numFmtId="0" fontId="84" fillId="16" borderId="12" xfId="0" applyFont="1" applyFill="1" applyBorder="1" applyAlignment="1">
      <alignment horizontal="center" vertical="center" wrapText="1"/>
    </xf>
    <xf numFmtId="0" fontId="47" fillId="0" borderId="38" xfId="0" applyFont="1" applyBorder="1" applyAlignment="1">
      <alignment horizontal="center" vertical="center" wrapText="1"/>
    </xf>
    <xf numFmtId="0" fontId="48" fillId="0" borderId="26" xfId="0" applyFont="1" applyBorder="1" applyAlignment="1">
      <alignment horizontal="center" vertical="center" textRotation="90" wrapText="1"/>
    </xf>
    <xf numFmtId="0" fontId="48" fillId="0" borderId="34" xfId="0" applyFont="1" applyBorder="1" applyAlignment="1">
      <alignment horizontal="center" vertical="center" textRotation="90" wrapText="1"/>
    </xf>
    <xf numFmtId="0" fontId="48" fillId="0" borderId="7" xfId="0" applyFont="1" applyBorder="1" applyAlignment="1">
      <alignment horizontal="center" vertical="center" textRotation="90" wrapText="1"/>
    </xf>
    <xf numFmtId="0" fontId="48" fillId="0" borderId="19" xfId="0" applyFont="1" applyBorder="1" applyAlignment="1">
      <alignment horizontal="center" vertical="center" textRotation="90" wrapText="1"/>
    </xf>
    <xf numFmtId="166" fontId="49" fillId="24" borderId="12" xfId="0" applyNumberFormat="1" applyFont="1" applyFill="1" applyBorder="1" applyAlignment="1">
      <alignment horizontal="justify" vertical="center"/>
    </xf>
    <xf numFmtId="49" fontId="47" fillId="18" borderId="6" xfId="0" applyNumberFormat="1" applyFont="1" applyFill="1" applyBorder="1" applyAlignment="1">
      <alignment horizontal="justify" vertical="center" wrapText="1"/>
    </xf>
    <xf numFmtId="49" fontId="47" fillId="18" borderId="6" xfId="0" applyNumberFormat="1" applyFont="1" applyFill="1" applyBorder="1" applyAlignment="1">
      <alignment horizontal="justify" vertical="center"/>
    </xf>
    <xf numFmtId="0" fontId="47" fillId="43" borderId="6" xfId="0" applyFont="1" applyFill="1" applyBorder="1" applyAlignment="1">
      <alignment horizontal="justify" vertical="center" wrapText="1"/>
    </xf>
    <xf numFmtId="0" fontId="48" fillId="43" borderId="6" xfId="0" applyFont="1" applyFill="1" applyBorder="1" applyAlignment="1">
      <alignment horizontal="justify" vertical="center" textRotation="90" wrapText="1"/>
    </xf>
    <xf numFmtId="166" fontId="48" fillId="43" borderId="17" xfId="0" applyNumberFormat="1" applyFont="1" applyFill="1" applyBorder="1" applyAlignment="1">
      <alignment horizontal="justify" vertical="center" wrapText="1"/>
    </xf>
    <xf numFmtId="166" fontId="48" fillId="43" borderId="20" xfId="0" applyNumberFormat="1" applyFont="1" applyFill="1" applyBorder="1" applyAlignment="1">
      <alignment horizontal="justify" vertical="center" wrapText="1"/>
    </xf>
    <xf numFmtId="166" fontId="48" fillId="43" borderId="18" xfId="0" applyNumberFormat="1" applyFont="1" applyFill="1" applyBorder="1" applyAlignment="1">
      <alignment horizontal="justify" vertical="center"/>
    </xf>
    <xf numFmtId="166" fontId="47" fillId="43" borderId="24" xfId="0" applyNumberFormat="1" applyFont="1" applyFill="1" applyBorder="1" applyAlignment="1">
      <alignment horizontal="justify" vertical="center"/>
    </xf>
    <xf numFmtId="166" fontId="47" fillId="43" borderId="36" xfId="0" applyNumberFormat="1" applyFont="1" applyFill="1" applyBorder="1" applyAlignment="1">
      <alignment horizontal="justify" vertical="center"/>
    </xf>
    <xf numFmtId="166" fontId="47" fillId="43" borderId="25" xfId="0" applyNumberFormat="1" applyFont="1" applyFill="1" applyBorder="1" applyAlignment="1">
      <alignment horizontal="justify" vertical="center"/>
    </xf>
    <xf numFmtId="0" fontId="47" fillId="41" borderId="6" xfId="0" applyFont="1" applyFill="1" applyBorder="1" applyAlignment="1">
      <alignment horizontal="justify" vertical="center" wrapText="1"/>
    </xf>
    <xf numFmtId="0" fontId="96" fillId="24" borderId="6" xfId="0" applyFont="1" applyFill="1" applyBorder="1" applyAlignment="1">
      <alignment horizontal="justify" vertical="center" wrapText="1"/>
    </xf>
    <xf numFmtId="0" fontId="96" fillId="24" borderId="6" xfId="0" applyFont="1" applyFill="1" applyBorder="1" applyAlignment="1">
      <alignment horizontal="justify" vertical="center" textRotation="90" wrapText="1"/>
    </xf>
    <xf numFmtId="166" fontId="96" fillId="24" borderId="17" xfId="0" applyNumberFormat="1" applyFont="1" applyFill="1" applyBorder="1" applyAlignment="1">
      <alignment horizontal="justify" vertical="center" wrapText="1"/>
    </xf>
    <xf numFmtId="166" fontId="96" fillId="24" borderId="20" xfId="0" applyNumberFormat="1" applyFont="1" applyFill="1" applyBorder="1" applyAlignment="1">
      <alignment horizontal="justify" vertical="center" wrapText="1"/>
    </xf>
    <xf numFmtId="166" fontId="96" fillId="24" borderId="18" xfId="0" applyNumberFormat="1" applyFont="1" applyFill="1" applyBorder="1" applyAlignment="1">
      <alignment horizontal="justify" vertical="center"/>
    </xf>
    <xf numFmtId="166" fontId="47" fillId="0" borderId="15" xfId="0" applyNumberFormat="1" applyFont="1" applyBorder="1" applyAlignment="1">
      <alignment horizontal="justify" vertical="center"/>
    </xf>
    <xf numFmtId="166" fontId="47" fillId="29" borderId="24" xfId="0" applyNumberFormat="1" applyFont="1" applyFill="1" applyBorder="1" applyAlignment="1">
      <alignment horizontal="justify" vertical="center"/>
    </xf>
    <xf numFmtId="166" fontId="47" fillId="29" borderId="36" xfId="0" applyNumberFormat="1" applyFont="1" applyFill="1" applyBorder="1" applyAlignment="1">
      <alignment horizontal="justify" vertical="center"/>
    </xf>
    <xf numFmtId="49" fontId="47" fillId="4" borderId="12" xfId="0" applyNumberFormat="1" applyFont="1" applyFill="1" applyBorder="1" applyAlignment="1">
      <alignment horizontal="justify" vertical="center" wrapText="1"/>
    </xf>
    <xf numFmtId="49" fontId="48" fillId="18" borderId="9" xfId="0" applyNumberFormat="1" applyFont="1" applyFill="1" applyBorder="1" applyAlignment="1">
      <alignment horizontal="justify" vertical="center" wrapText="1"/>
    </xf>
    <xf numFmtId="0" fontId="47" fillId="18" borderId="9" xfId="0" applyFont="1" applyFill="1" applyBorder="1" applyAlignment="1">
      <alignment horizontal="justify" vertical="center" wrapText="1"/>
    </xf>
    <xf numFmtId="0" fontId="48" fillId="0" borderId="11" xfId="0" applyFont="1" applyBorder="1" applyAlignment="1">
      <alignment horizontal="justify" vertical="center" textRotation="90" wrapText="1"/>
    </xf>
    <xf numFmtId="166" fontId="48" fillId="29" borderId="24" xfId="0" applyNumberFormat="1" applyFont="1" applyFill="1" applyBorder="1" applyAlignment="1">
      <alignment horizontal="justify" vertical="center" wrapText="1"/>
    </xf>
    <xf numFmtId="166" fontId="48" fillId="29" borderId="36" xfId="0" applyNumberFormat="1" applyFont="1" applyFill="1" applyBorder="1" applyAlignment="1">
      <alignment horizontal="justify" vertical="center"/>
    </xf>
    <xf numFmtId="49" fontId="47" fillId="31" borderId="6" xfId="0" applyNumberFormat="1" applyFont="1" applyFill="1" applyBorder="1" applyAlignment="1">
      <alignment horizontal="justify" vertical="center"/>
    </xf>
    <xf numFmtId="49" fontId="47" fillId="31" borderId="7" xfId="0" applyNumberFormat="1" applyFont="1" applyFill="1" applyBorder="1" applyAlignment="1">
      <alignment horizontal="justify" vertical="center"/>
    </xf>
    <xf numFmtId="0" fontId="47" fillId="31" borderId="6" xfId="0" applyFont="1" applyFill="1" applyBorder="1" applyAlignment="1">
      <alignment horizontal="justify" vertical="center" wrapText="1"/>
    </xf>
    <xf numFmtId="0" fontId="47" fillId="31" borderId="7" xfId="0" applyFont="1" applyFill="1" applyBorder="1" applyAlignment="1">
      <alignment horizontal="justify" vertical="center" wrapText="1"/>
    </xf>
    <xf numFmtId="0" fontId="47" fillId="42" borderId="7" xfId="0" applyFont="1" applyFill="1" applyBorder="1" applyAlignment="1">
      <alignment horizontal="justify" vertical="center" wrapText="1"/>
    </xf>
    <xf numFmtId="0" fontId="88" fillId="41" borderId="7" xfId="0" applyFont="1" applyFill="1" applyBorder="1" applyAlignment="1">
      <alignment horizontal="justify" vertical="center" textRotation="90" wrapText="1"/>
    </xf>
    <xf numFmtId="0" fontId="47" fillId="31" borderId="9" xfId="0" applyFont="1" applyFill="1" applyBorder="1" applyAlignment="1">
      <alignment horizontal="justify" vertical="center" wrapText="1"/>
    </xf>
    <xf numFmtId="0" fontId="48" fillId="24" borderId="12" xfId="0" applyFont="1" applyFill="1" applyBorder="1" applyAlignment="1">
      <alignment horizontal="justify" vertical="center" textRotation="90" wrapText="1"/>
    </xf>
    <xf numFmtId="166" fontId="47" fillId="24" borderId="24" xfId="0" applyNumberFormat="1" applyFont="1" applyFill="1" applyBorder="1" applyAlignment="1">
      <alignment horizontal="justify" vertical="center"/>
    </xf>
    <xf numFmtId="166" fontId="47" fillId="24" borderId="36" xfId="0" applyNumberFormat="1" applyFont="1" applyFill="1" applyBorder="1" applyAlignment="1">
      <alignment horizontal="justify" vertical="center"/>
    </xf>
    <xf numFmtId="166" fontId="47" fillId="24" borderId="25" xfId="0" applyNumberFormat="1" applyFont="1" applyFill="1" applyBorder="1" applyAlignment="1">
      <alignment horizontal="justify" vertical="center"/>
    </xf>
    <xf numFmtId="49" fontId="48" fillId="28" borderId="12" xfId="0" applyNumberFormat="1" applyFont="1" applyFill="1" applyBorder="1" applyAlignment="1">
      <alignment horizontal="justify" vertical="center"/>
    </xf>
    <xf numFmtId="0" fontId="48" fillId="28" borderId="12" xfId="0" applyFont="1" applyFill="1" applyBorder="1" applyAlignment="1">
      <alignment horizontal="justify" vertical="center" textRotation="90" wrapText="1"/>
    </xf>
    <xf numFmtId="166" fontId="47" fillId="31" borderId="24" xfId="0" applyNumberFormat="1" applyFont="1" applyFill="1" applyBorder="1" applyAlignment="1">
      <alignment horizontal="justify" vertical="center"/>
    </xf>
    <xf numFmtId="166" fontId="47" fillId="31" borderId="25" xfId="0" applyNumberFormat="1" applyFont="1" applyFill="1" applyBorder="1" applyAlignment="1">
      <alignment horizontal="justify" vertical="center"/>
    </xf>
    <xf numFmtId="49" fontId="48" fillId="43" borderId="6" xfId="0" applyNumberFormat="1" applyFont="1" applyFill="1" applyBorder="1" applyAlignment="1">
      <alignment horizontal="justify" vertical="center"/>
    </xf>
    <xf numFmtId="49" fontId="88" fillId="41" borderId="6" xfId="0" applyNumberFormat="1" applyFont="1" applyFill="1" applyBorder="1" applyAlignment="1">
      <alignment horizontal="justify" vertical="center"/>
    </xf>
    <xf numFmtId="166" fontId="117" fillId="24" borderId="17" xfId="0" applyNumberFormat="1" applyFont="1" applyFill="1" applyBorder="1" applyAlignment="1">
      <alignment horizontal="justify" vertical="center" wrapText="1"/>
    </xf>
    <xf numFmtId="49" fontId="94" fillId="0" borderId="17" xfId="0" applyNumberFormat="1" applyFont="1" applyBorder="1" applyAlignment="1">
      <alignment horizontal="justify" vertical="center" wrapText="1"/>
    </xf>
    <xf numFmtId="49" fontId="94" fillId="0" borderId="18" xfId="0" applyNumberFormat="1" applyFont="1" applyBorder="1" applyAlignment="1">
      <alignment horizontal="justify" vertical="center" wrapText="1"/>
    </xf>
    <xf numFmtId="49" fontId="84" fillId="31" borderId="20" xfId="0" applyNumberFormat="1" applyFont="1" applyFill="1" applyBorder="1" applyAlignment="1">
      <alignment horizontal="justify" vertical="center" wrapText="1"/>
    </xf>
    <xf numFmtId="0" fontId="48" fillId="31" borderId="9" xfId="0" applyFont="1" applyFill="1" applyBorder="1" applyAlignment="1">
      <alignment horizontal="justify" vertical="center" textRotation="90" wrapText="1"/>
    </xf>
    <xf numFmtId="0" fontId="48" fillId="31" borderId="6" xfId="0" applyFont="1" applyFill="1" applyBorder="1" applyAlignment="1">
      <alignment horizontal="justify" vertical="center" textRotation="90" wrapText="1"/>
    </xf>
    <xf numFmtId="166" fontId="83" fillId="31" borderId="17" xfId="0" applyNumberFormat="1" applyFont="1" applyFill="1" applyBorder="1" applyAlignment="1">
      <alignment horizontal="justify" vertical="center" wrapText="1"/>
    </xf>
    <xf numFmtId="166" fontId="83" fillId="31" borderId="18" xfId="0" applyNumberFormat="1" applyFont="1" applyFill="1" applyBorder="1" applyAlignment="1">
      <alignment horizontal="justify" vertical="center"/>
    </xf>
    <xf numFmtId="0" fontId="48" fillId="31" borderId="7" xfId="0" applyFont="1" applyFill="1" applyBorder="1" applyAlignment="1">
      <alignment horizontal="justify" vertical="center" textRotation="90" wrapText="1"/>
    </xf>
    <xf numFmtId="166" fontId="83" fillId="31" borderId="20" xfId="0" applyNumberFormat="1" applyFont="1" applyFill="1" applyBorder="1" applyAlignment="1">
      <alignment horizontal="justify" vertical="center"/>
    </xf>
    <xf numFmtId="49" fontId="47" fillId="31" borderId="9" xfId="0" applyNumberFormat="1" applyFont="1" applyFill="1" applyBorder="1" applyAlignment="1">
      <alignment horizontal="justify" vertical="center"/>
    </xf>
    <xf numFmtId="0" fontId="48" fillId="31" borderId="18" xfId="0" applyFont="1" applyFill="1" applyBorder="1" applyAlignment="1">
      <alignment horizontal="justify" vertical="center" textRotation="90" wrapText="1"/>
    </xf>
    <xf numFmtId="0" fontId="48" fillId="31" borderId="12" xfId="0" applyFont="1" applyFill="1" applyBorder="1" applyAlignment="1">
      <alignment horizontal="justify" vertical="center" textRotation="90" wrapText="1"/>
    </xf>
    <xf numFmtId="0" fontId="47" fillId="28" borderId="12" xfId="0" applyFont="1" applyFill="1" applyBorder="1" applyAlignment="1">
      <alignment horizontal="justify" vertical="center" wrapText="1"/>
    </xf>
    <xf numFmtId="166" fontId="48" fillId="28" borderId="12" xfId="0" applyNumberFormat="1" applyFont="1" applyFill="1" applyBorder="1" applyAlignment="1">
      <alignment horizontal="justify" vertical="center" wrapText="1"/>
    </xf>
    <xf numFmtId="166" fontId="48" fillId="28" borderId="12" xfId="0" applyNumberFormat="1" applyFont="1" applyFill="1" applyBorder="1" applyAlignment="1">
      <alignment horizontal="justify" vertical="center"/>
    </xf>
    <xf numFmtId="166" fontId="48" fillId="31" borderId="17" xfId="0" applyNumberFormat="1" applyFont="1" applyFill="1" applyBorder="1" applyAlignment="1">
      <alignment horizontal="justify" vertical="center" wrapText="1"/>
    </xf>
    <xf numFmtId="166" fontId="48" fillId="31" borderId="20" xfId="0" applyNumberFormat="1" applyFont="1" applyFill="1" applyBorder="1" applyAlignment="1">
      <alignment horizontal="justify" vertical="center"/>
    </xf>
    <xf numFmtId="166" fontId="48" fillId="31" borderId="18" xfId="0" applyNumberFormat="1" applyFont="1" applyFill="1" applyBorder="1" applyAlignment="1">
      <alignment horizontal="justify" vertical="center"/>
    </xf>
    <xf numFmtId="0" fontId="48" fillId="41" borderId="12" xfId="0" applyFont="1" applyFill="1" applyBorder="1" applyAlignment="1">
      <alignment horizontal="justify" vertical="center" wrapText="1"/>
    </xf>
    <xf numFmtId="0" fontId="48" fillId="41" borderId="12" xfId="0" applyFont="1" applyFill="1" applyBorder="1" applyAlignment="1">
      <alignment horizontal="justify" vertical="center" textRotation="90" wrapText="1"/>
    </xf>
    <xf numFmtId="0" fontId="47" fillId="0" borderId="17" xfId="0" applyFont="1" applyBorder="1" applyAlignment="1">
      <alignment horizontal="center"/>
    </xf>
    <xf numFmtId="0" fontId="47" fillId="0" borderId="20" xfId="0" applyFont="1" applyBorder="1" applyAlignment="1">
      <alignment horizontal="center"/>
    </xf>
    <xf numFmtId="0" fontId="47" fillId="0" borderId="18" xfId="0" applyFont="1" applyBorder="1" applyAlignment="1">
      <alignment horizontal="center"/>
    </xf>
    <xf numFmtId="0" fontId="52" fillId="0" borderId="12" xfId="0" applyFont="1" applyBorder="1" applyAlignment="1">
      <alignment horizontal="left" vertical="center" wrapText="1"/>
    </xf>
    <xf numFmtId="0" fontId="53" fillId="14" borderId="13" xfId="0" applyFont="1" applyFill="1" applyBorder="1" applyAlignment="1">
      <alignment horizontal="center" vertical="center" wrapText="1"/>
    </xf>
    <xf numFmtId="0" fontId="53" fillId="14" borderId="27" xfId="0" applyFont="1" applyFill="1" applyBorder="1" applyAlignment="1">
      <alignment horizontal="center" vertical="center" wrapText="1"/>
    </xf>
    <xf numFmtId="0" fontId="53" fillId="14" borderId="15" xfId="0" applyFont="1" applyFill="1" applyBorder="1" applyAlignment="1">
      <alignment horizontal="center" vertical="center" wrapText="1"/>
    </xf>
    <xf numFmtId="0" fontId="53" fillId="0" borderId="12" xfId="0" applyFont="1" applyBorder="1" applyAlignment="1">
      <alignment horizontal="justify" vertical="top" wrapText="1"/>
    </xf>
    <xf numFmtId="0" fontId="53" fillId="0" borderId="12" xfId="0" applyFont="1" applyBorder="1" applyAlignment="1">
      <alignment horizontal="center" vertical="top" wrapText="1"/>
    </xf>
    <xf numFmtId="0" fontId="55" fillId="18" borderId="12" xfId="0" applyFont="1" applyFill="1" applyBorder="1" applyAlignment="1">
      <alignment horizontal="center" vertical="center"/>
    </xf>
    <xf numFmtId="0" fontId="52" fillId="0" borderId="12" xfId="0" applyFont="1" applyBorder="1" applyAlignment="1">
      <alignment horizontal="center" vertical="center" wrapText="1"/>
    </xf>
    <xf numFmtId="0" fontId="52" fillId="0" borderId="17" xfId="0" applyFont="1" applyBorder="1" applyAlignment="1">
      <alignment horizontal="center" vertical="center" wrapText="1"/>
    </xf>
    <xf numFmtId="0" fontId="52" fillId="0" borderId="18" xfId="0" applyFont="1" applyBorder="1" applyAlignment="1">
      <alignment horizontal="center" vertical="center" wrapText="1"/>
    </xf>
    <xf numFmtId="0" fontId="119" fillId="0" borderId="17" xfId="0" applyFont="1" applyBorder="1" applyAlignment="1">
      <alignment horizontal="center" vertical="center" wrapText="1"/>
    </xf>
    <xf numFmtId="0" fontId="119" fillId="0" borderId="18" xfId="0" applyFont="1" applyBorder="1" applyAlignment="1">
      <alignment horizontal="center" vertical="center" wrapText="1"/>
    </xf>
    <xf numFmtId="0" fontId="53" fillId="0" borderId="17" xfId="0" applyFont="1" applyBorder="1" applyAlignment="1">
      <alignment horizontal="center" vertical="top" wrapText="1"/>
    </xf>
    <xf numFmtId="0" fontId="53" fillId="0" borderId="20" xfId="0" applyFont="1" applyBorder="1" applyAlignment="1">
      <alignment horizontal="center" vertical="top" wrapText="1"/>
    </xf>
    <xf numFmtId="0" fontId="53" fillId="0" borderId="18" xfId="0" applyFont="1" applyBorder="1" applyAlignment="1">
      <alignment horizontal="center" vertical="top" wrapText="1"/>
    </xf>
    <xf numFmtId="0" fontId="52" fillId="0" borderId="29"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38" xfId="0" applyFont="1" applyBorder="1" applyAlignment="1">
      <alignment horizontal="center" vertical="center" wrapText="1"/>
    </xf>
    <xf numFmtId="0" fontId="52" fillId="0" borderId="17" xfId="0" applyFont="1" applyBorder="1" applyAlignment="1">
      <alignment horizontal="justify" vertical="center" wrapText="1"/>
    </xf>
    <xf numFmtId="0" fontId="52" fillId="0" borderId="18" xfId="0" applyFont="1" applyBorder="1" applyAlignment="1">
      <alignment horizontal="justify" vertical="center" wrapText="1"/>
    </xf>
    <xf numFmtId="0" fontId="53" fillId="18" borderId="12" xfId="0" applyFont="1" applyFill="1" applyBorder="1" applyAlignment="1">
      <alignment horizontal="center" vertical="center" wrapText="1"/>
    </xf>
    <xf numFmtId="0" fontId="53" fillId="18" borderId="18" xfId="0" applyFont="1" applyFill="1" applyBorder="1" applyAlignment="1">
      <alignment horizontal="center" vertical="center" wrapText="1"/>
    </xf>
    <xf numFmtId="0" fontId="55" fillId="18" borderId="18" xfId="0" applyFont="1" applyFill="1" applyBorder="1" applyAlignment="1">
      <alignment horizontal="center" vertical="center"/>
    </xf>
    <xf numFmtId="0" fontId="120" fillId="0" borderId="12" xfId="0" applyFont="1" applyBorder="1" applyAlignment="1">
      <alignment horizontal="justify" vertical="top" wrapText="1"/>
    </xf>
    <xf numFmtId="0" fontId="52" fillId="0" borderId="12" xfId="0" applyFont="1" applyBorder="1" applyAlignment="1">
      <alignment horizontal="justify" vertical="center" wrapText="1"/>
    </xf>
    <xf numFmtId="0" fontId="0" fillId="0" borderId="12" xfId="0" applyBorder="1" applyAlignment="1">
      <alignment horizontal="center" vertical="center" wrapText="1"/>
    </xf>
    <xf numFmtId="0" fontId="53" fillId="0" borderId="12" xfId="0" applyFont="1" applyBorder="1" applyAlignment="1">
      <alignment horizontal="center" vertical="center" wrapText="1"/>
    </xf>
    <xf numFmtId="0" fontId="53" fillId="18" borderId="12" xfId="0" applyFont="1" applyFill="1" applyBorder="1" applyAlignment="1">
      <alignment horizontal="center" vertical="center"/>
    </xf>
    <xf numFmtId="0" fontId="55" fillId="18" borderId="13" xfId="0" applyFont="1" applyFill="1" applyBorder="1" applyAlignment="1">
      <alignment horizontal="center" vertical="center"/>
    </xf>
    <xf numFmtId="0" fontId="52" fillId="0" borderId="38" xfId="0" applyFont="1" applyBorder="1" applyAlignment="1">
      <alignment horizontal="left" vertical="center" wrapText="1"/>
    </xf>
    <xf numFmtId="0" fontId="52" fillId="0" borderId="20" xfId="0" applyFont="1" applyBorder="1" applyAlignment="1">
      <alignment horizontal="center" vertical="center" wrapText="1"/>
    </xf>
    <xf numFmtId="0" fontId="52" fillId="0" borderId="30" xfId="0" applyFont="1" applyBorder="1" applyAlignment="1">
      <alignment horizontal="left"/>
    </xf>
    <xf numFmtId="0" fontId="52" fillId="0" borderId="0" xfId="0" applyFont="1" applyAlignment="1">
      <alignment horizontal="left"/>
    </xf>
    <xf numFmtId="2" fontId="33" fillId="0" borderId="17" xfId="0" applyNumberFormat="1" applyFont="1" applyBorder="1" applyAlignment="1">
      <alignment horizontal="center" vertical="center" wrapText="1"/>
    </xf>
    <xf numFmtId="2" fontId="33" fillId="0" borderId="20" xfId="0" applyNumberFormat="1" applyFont="1" applyBorder="1" applyAlignment="1">
      <alignment horizontal="center" vertical="center" wrapText="1"/>
    </xf>
    <xf numFmtId="2" fontId="33" fillId="0" borderId="18" xfId="0" applyNumberFormat="1" applyFont="1" applyBorder="1" applyAlignment="1">
      <alignment horizontal="center" vertical="center" wrapText="1"/>
    </xf>
    <xf numFmtId="0" fontId="33" fillId="0" borderId="12" xfId="0" applyFont="1" applyBorder="1" applyAlignment="1">
      <alignment vertical="center" wrapText="1"/>
    </xf>
    <xf numFmtId="2" fontId="33" fillId="0" borderId="12" xfId="0" applyNumberFormat="1" applyFont="1" applyBorder="1" applyAlignment="1">
      <alignment horizontal="left" vertical="center" wrapText="1"/>
    </xf>
    <xf numFmtId="0" fontId="29" fillId="17" borderId="12" xfId="0" applyFont="1" applyFill="1" applyBorder="1" applyAlignment="1">
      <alignment horizontal="center" vertical="center"/>
    </xf>
    <xf numFmtId="0" fontId="29" fillId="41" borderId="12" xfId="0" applyFont="1" applyFill="1" applyBorder="1" applyAlignment="1">
      <alignment horizontal="center"/>
    </xf>
    <xf numFmtId="0" fontId="29" fillId="49" borderId="13" xfId="0" applyFont="1" applyFill="1" applyBorder="1" applyAlignment="1">
      <alignment horizontal="center"/>
    </xf>
    <xf numFmtId="0" fontId="29" fillId="49" borderId="27" xfId="0" applyFont="1" applyFill="1" applyBorder="1" applyAlignment="1">
      <alignment horizontal="center"/>
    </xf>
    <xf numFmtId="0" fontId="29" fillId="49" borderId="15" xfId="0" applyFont="1" applyFill="1" applyBorder="1" applyAlignment="1">
      <alignment horizontal="center"/>
    </xf>
    <xf numFmtId="0" fontId="29" fillId="24" borderId="12" xfId="0" applyFont="1" applyFill="1" applyBorder="1" applyAlignment="1">
      <alignment horizontal="center"/>
    </xf>
    <xf numFmtId="0" fontId="29" fillId="46" borderId="12" xfId="0" applyFont="1" applyFill="1" applyBorder="1" applyAlignment="1">
      <alignment horizontal="center" vertical="center" wrapText="1"/>
    </xf>
    <xf numFmtId="0" fontId="29" fillId="46" borderId="12" xfId="0" applyFont="1" applyFill="1" applyBorder="1" applyAlignment="1">
      <alignment horizontal="center" vertical="center"/>
    </xf>
    <xf numFmtId="0" fontId="29" fillId="47" borderId="12" xfId="0" applyFont="1" applyFill="1" applyBorder="1" applyAlignment="1">
      <alignment horizontal="center"/>
    </xf>
    <xf numFmtId="0" fontId="29" fillId="48" borderId="12" xfId="0" applyFont="1" applyFill="1" applyBorder="1" applyAlignment="1">
      <alignment horizontal="center"/>
    </xf>
    <xf numFmtId="0" fontId="29" fillId="44" borderId="12" xfId="0" applyFont="1" applyFill="1" applyBorder="1" applyAlignment="1">
      <alignment horizontal="center" wrapText="1"/>
    </xf>
    <xf numFmtId="0" fontId="29" fillId="44" borderId="12" xfId="0" applyFont="1" applyFill="1" applyBorder="1" applyAlignment="1">
      <alignment horizontal="center"/>
    </xf>
    <xf numFmtId="0" fontId="29" fillId="17" borderId="12" xfId="0" applyFont="1" applyFill="1" applyBorder="1" applyAlignment="1">
      <alignment horizontal="center" wrapText="1"/>
    </xf>
    <xf numFmtId="0" fontId="29" fillId="50" borderId="29" xfId="0" applyFont="1" applyFill="1" applyBorder="1" applyAlignment="1">
      <alignment horizontal="center"/>
    </xf>
    <xf numFmtId="0" fontId="29" fillId="50" borderId="30" xfId="0" applyFont="1" applyFill="1" applyBorder="1" applyAlignment="1">
      <alignment horizontal="center"/>
    </xf>
    <xf numFmtId="0" fontId="0" fillId="0" borderId="12" xfId="0" applyBorder="1" applyAlignment="1">
      <alignment horizontal="center"/>
    </xf>
    <xf numFmtId="0" fontId="29" fillId="51" borderId="12" xfId="0" applyFont="1" applyFill="1" applyBorder="1" applyAlignment="1">
      <alignment horizontal="center"/>
    </xf>
    <xf numFmtId="0" fontId="29" fillId="18" borderId="13" xfId="0" applyFont="1" applyFill="1" applyBorder="1" applyAlignment="1">
      <alignment horizontal="center" wrapText="1"/>
    </xf>
    <xf numFmtId="0" fontId="29" fillId="18" borderId="27" xfId="0" applyFont="1" applyFill="1" applyBorder="1" applyAlignment="1">
      <alignment horizontal="center" wrapText="1"/>
    </xf>
    <xf numFmtId="0" fontId="29" fillId="18" borderId="15" xfId="0" applyFont="1" applyFill="1" applyBorder="1" applyAlignment="1">
      <alignment horizontal="center" wrapText="1"/>
    </xf>
    <xf numFmtId="0" fontId="29" fillId="5" borderId="13" xfId="0" applyFont="1" applyFill="1" applyBorder="1" applyAlignment="1">
      <alignment horizontal="center" wrapText="1"/>
    </xf>
    <xf numFmtId="0" fontId="29" fillId="5" borderId="27" xfId="0" applyFont="1" applyFill="1" applyBorder="1" applyAlignment="1">
      <alignment horizontal="center" wrapText="1"/>
    </xf>
    <xf numFmtId="0" fontId="29" fillId="5" borderId="15" xfId="0" applyFont="1" applyFill="1" applyBorder="1" applyAlignment="1">
      <alignment horizontal="center" wrapText="1"/>
    </xf>
    <xf numFmtId="0" fontId="20" fillId="6" borderId="48" xfId="0" applyFont="1" applyFill="1" applyBorder="1" applyAlignment="1">
      <alignment vertical="center" wrapText="1"/>
    </xf>
    <xf numFmtId="0" fontId="20" fillId="6" borderId="49" xfId="0" applyFont="1" applyFill="1" applyBorder="1" applyAlignment="1">
      <alignment vertical="center" wrapText="1"/>
    </xf>
    <xf numFmtId="0" fontId="15" fillId="0" borderId="48" xfId="0" applyFont="1" applyBorder="1" applyAlignment="1">
      <alignment vertical="center" wrapText="1"/>
    </xf>
    <xf numFmtId="0" fontId="15" fillId="0" borderId="50" xfId="0" applyFont="1" applyBorder="1" applyAlignment="1">
      <alignment vertical="center" wrapText="1"/>
    </xf>
    <xf numFmtId="0" fontId="21" fillId="5" borderId="48" xfId="0" applyFont="1" applyFill="1" applyBorder="1" applyAlignment="1">
      <alignment vertical="center" wrapText="1"/>
    </xf>
    <xf numFmtId="0" fontId="21" fillId="5" borderId="49" xfId="0" applyFont="1" applyFill="1" applyBorder="1" applyAlignment="1">
      <alignment vertical="center" wrapText="1"/>
    </xf>
    <xf numFmtId="0" fontId="15" fillId="5" borderId="49" xfId="0" applyFont="1" applyFill="1" applyBorder="1" applyAlignment="1">
      <alignment vertical="top" wrapText="1"/>
    </xf>
    <xf numFmtId="0" fontId="15" fillId="0" borderId="0" xfId="0" applyFont="1"/>
    <xf numFmtId="0" fontId="14" fillId="0" borderId="40" xfId="0" applyFont="1" applyBorder="1" applyAlignment="1">
      <alignment vertical="center"/>
    </xf>
    <xf numFmtId="0" fontId="14" fillId="0" borderId="45" xfId="0" applyFont="1" applyBorder="1" applyAlignment="1">
      <alignment horizontal="center" vertical="center" wrapText="1"/>
    </xf>
    <xf numFmtId="0" fontId="14" fillId="0" borderId="41"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47" xfId="0" applyFont="1" applyBorder="1" applyAlignment="1">
      <alignment horizontal="center" vertical="center" wrapText="1"/>
    </xf>
    <xf numFmtId="0" fontId="14" fillId="0" borderId="35" xfId="0" applyFont="1" applyBorder="1" applyAlignment="1">
      <alignment horizontal="center" vertical="center" wrapText="1"/>
    </xf>
    <xf numFmtId="0" fontId="14" fillId="0" borderId="43" xfId="0" applyFont="1" applyBorder="1" applyAlignment="1">
      <alignment horizontal="center" vertical="center" wrapText="1"/>
    </xf>
    <xf numFmtId="0" fontId="14" fillId="8" borderId="48" xfId="0" applyFont="1" applyFill="1" applyBorder="1" applyAlignment="1">
      <alignment vertical="center"/>
    </xf>
    <xf numFmtId="0" fontId="14" fillId="8" borderId="49" xfId="0" applyFont="1" applyFill="1" applyBorder="1" applyAlignment="1">
      <alignment vertical="center"/>
    </xf>
    <xf numFmtId="0" fontId="15" fillId="8" borderId="49" xfId="0" applyFont="1" applyFill="1" applyBorder="1" applyAlignment="1">
      <alignment vertical="top"/>
    </xf>
    <xf numFmtId="0" fontId="24" fillId="8" borderId="48" xfId="0" applyFont="1" applyFill="1" applyBorder="1" applyAlignment="1">
      <alignment vertical="center"/>
    </xf>
    <xf numFmtId="0" fontId="24" fillId="8" borderId="49" xfId="0" applyFont="1" applyFill="1" applyBorder="1" applyAlignment="1">
      <alignment vertical="center"/>
    </xf>
    <xf numFmtId="0" fontId="20" fillId="7" borderId="48" xfId="0" applyFont="1" applyFill="1" applyBorder="1" applyAlignment="1">
      <alignment vertical="center" wrapText="1"/>
    </xf>
    <xf numFmtId="0" fontId="20" fillId="7" borderId="49" xfId="0" applyFont="1" applyFill="1" applyBorder="1" applyAlignment="1">
      <alignment vertical="center" wrapText="1"/>
    </xf>
    <xf numFmtId="0" fontId="15" fillId="7" borderId="49" xfId="0" applyFont="1" applyFill="1" applyBorder="1" applyAlignment="1">
      <alignment wrapText="1"/>
    </xf>
    <xf numFmtId="0" fontId="15" fillId="6" borderId="49" xfId="0" applyFont="1" applyFill="1" applyBorder="1" applyAlignment="1">
      <alignment vertical="top" wrapText="1"/>
    </xf>
    <xf numFmtId="0" fontId="24" fillId="8" borderId="48" xfId="0" applyFont="1" applyFill="1" applyBorder="1" applyAlignment="1">
      <alignment vertical="center" wrapText="1"/>
    </xf>
    <xf numFmtId="0" fontId="24" fillId="8" borderId="49" xfId="0" applyFont="1" applyFill="1" applyBorder="1" applyAlignment="1">
      <alignment vertical="center" wrapText="1"/>
    </xf>
    <xf numFmtId="0" fontId="15" fillId="8" borderId="49" xfId="0" applyFont="1" applyFill="1" applyBorder="1" applyAlignment="1">
      <alignment vertical="top" wrapText="1"/>
    </xf>
    <xf numFmtId="0" fontId="15" fillId="0" borderId="45" xfId="0" applyFont="1" applyBorder="1" applyAlignment="1">
      <alignment vertical="center" wrapText="1"/>
    </xf>
    <xf numFmtId="0" fontId="15" fillId="0" borderId="42" xfId="0" applyFont="1" applyBorder="1" applyAlignment="1">
      <alignment vertical="center" wrapText="1"/>
    </xf>
    <xf numFmtId="0" fontId="15" fillId="0" borderId="41" xfId="0" applyFont="1" applyBorder="1" applyAlignment="1">
      <alignment vertical="center" wrapText="1"/>
    </xf>
    <xf numFmtId="0" fontId="17" fillId="0" borderId="45" xfId="0" applyFont="1" applyBorder="1" applyAlignment="1">
      <alignment vertical="center" wrapText="1"/>
    </xf>
    <xf numFmtId="0" fontId="17" fillId="0" borderId="42" xfId="0" applyFont="1" applyBorder="1" applyAlignment="1">
      <alignment vertical="center" wrapText="1"/>
    </xf>
    <xf numFmtId="0" fontId="17" fillId="0" borderId="41" xfId="0" applyFont="1" applyBorder="1" applyAlignment="1">
      <alignment vertical="center" wrapText="1"/>
    </xf>
    <xf numFmtId="0" fontId="15" fillId="0" borderId="46" xfId="0" applyFont="1" applyBorder="1" applyAlignment="1">
      <alignment vertical="center" wrapText="1"/>
    </xf>
    <xf numFmtId="0" fontId="15" fillId="0" borderId="47" xfId="0" applyFont="1" applyBorder="1" applyAlignment="1">
      <alignment vertical="center" wrapText="1"/>
    </xf>
    <xf numFmtId="0" fontId="15" fillId="0" borderId="35" xfId="0" applyFont="1" applyBorder="1" applyAlignment="1">
      <alignment vertical="center" wrapText="1"/>
    </xf>
    <xf numFmtId="0" fontId="15" fillId="0" borderId="43" xfId="0" applyFont="1" applyBorder="1" applyAlignment="1">
      <alignment vertical="center" wrapText="1"/>
    </xf>
    <xf numFmtId="0" fontId="17" fillId="0" borderId="48" xfId="0" applyFont="1" applyBorder="1" applyAlignment="1">
      <alignment vertical="center" wrapText="1"/>
    </xf>
    <xf numFmtId="0" fontId="17" fillId="0" borderId="50" xfId="0" applyFont="1" applyBorder="1" applyAlignment="1">
      <alignment vertical="center" wrapText="1"/>
    </xf>
    <xf numFmtId="0" fontId="16" fillId="0" borderId="48" xfId="0" applyFont="1" applyBorder="1" applyAlignment="1">
      <alignment vertical="center" wrapText="1"/>
    </xf>
    <xf numFmtId="0" fontId="16" fillId="0" borderId="50" xfId="0" applyFont="1" applyBorder="1" applyAlignment="1">
      <alignment vertical="center" wrapText="1"/>
    </xf>
    <xf numFmtId="0" fontId="25" fillId="0" borderId="45" xfId="0" applyFont="1" applyBorder="1" applyAlignment="1">
      <alignment vertical="center" wrapText="1"/>
    </xf>
    <xf numFmtId="0" fontId="25" fillId="0" borderId="41" xfId="0" applyFont="1" applyBorder="1" applyAlignment="1">
      <alignment vertical="center" wrapText="1"/>
    </xf>
    <xf numFmtId="0" fontId="15" fillId="0" borderId="48" xfId="0" applyFont="1" applyBorder="1" applyAlignment="1">
      <alignment wrapText="1"/>
    </xf>
    <xf numFmtId="0" fontId="15" fillId="0" borderId="50" xfId="0" applyFont="1" applyBorder="1" applyAlignment="1">
      <alignment wrapText="1"/>
    </xf>
    <xf numFmtId="0" fontId="25" fillId="0" borderId="48" xfId="0" applyFont="1" applyBorder="1" applyAlignment="1">
      <alignment vertical="center" wrapText="1"/>
    </xf>
    <xf numFmtId="0" fontId="25" fillId="0" borderId="50" xfId="0" applyFont="1" applyBorder="1" applyAlignment="1">
      <alignment vertical="center" wrapText="1"/>
    </xf>
    <xf numFmtId="0" fontId="25" fillId="8" borderId="45" xfId="0" applyFont="1" applyFill="1" applyBorder="1" applyAlignment="1">
      <alignment vertical="center" wrapText="1"/>
    </xf>
    <xf numFmtId="0" fontId="25" fillId="8" borderId="41" xfId="0" applyFont="1" applyFill="1" applyBorder="1" applyAlignment="1">
      <alignment vertical="center" wrapText="1"/>
    </xf>
    <xf numFmtId="0" fontId="25" fillId="0" borderId="42" xfId="0" applyFont="1" applyBorder="1" applyAlignment="1">
      <alignment vertical="center" wrapText="1"/>
    </xf>
    <xf numFmtId="3" fontId="15" fillId="0" borderId="48" xfId="0" applyNumberFormat="1" applyFont="1" applyBorder="1" applyAlignment="1">
      <alignment vertical="center" wrapText="1"/>
    </xf>
    <xf numFmtId="3" fontId="15" fillId="0" borderId="50" xfId="0" applyNumberFormat="1" applyFont="1" applyBorder="1" applyAlignment="1">
      <alignment vertical="center" wrapText="1"/>
    </xf>
    <xf numFmtId="0" fontId="27" fillId="7" borderId="48" xfId="0" applyFont="1" applyFill="1" applyBorder="1" applyAlignment="1">
      <alignment vertical="center" wrapText="1"/>
    </xf>
    <xf numFmtId="0" fontId="27" fillId="7" borderId="49" xfId="0" applyFont="1" applyFill="1" applyBorder="1" applyAlignment="1">
      <alignment vertical="center" wrapText="1"/>
    </xf>
    <xf numFmtId="0" fontId="15" fillId="8" borderId="45" xfId="0" applyFont="1" applyFill="1" applyBorder="1" applyAlignment="1">
      <alignment vertical="center" wrapText="1"/>
    </xf>
    <xf numFmtId="0" fontId="15" fillId="8" borderId="41" xfId="0" applyFont="1" applyFill="1" applyBorder="1" applyAlignment="1">
      <alignment vertical="center" wrapText="1"/>
    </xf>
    <xf numFmtId="0" fontId="15" fillId="0" borderId="46" xfId="0" applyFont="1" applyBorder="1" applyAlignment="1">
      <alignment horizontal="justify" vertical="center" wrapText="1"/>
    </xf>
    <xf numFmtId="0" fontId="15" fillId="0" borderId="35" xfId="0" applyFont="1" applyBorder="1" applyAlignment="1">
      <alignment horizontal="justify" vertical="center" wrapText="1"/>
    </xf>
    <xf numFmtId="0" fontId="15" fillId="0" borderId="45" xfId="0" applyFont="1" applyBorder="1" applyAlignment="1">
      <alignment horizontal="justify" vertical="center" wrapText="1"/>
    </xf>
    <xf numFmtId="0" fontId="15" fillId="0" borderId="41" xfId="0" applyFont="1" applyBorder="1" applyAlignment="1">
      <alignment horizontal="justify" vertical="center" wrapText="1"/>
    </xf>
    <xf numFmtId="0" fontId="17" fillId="0" borderId="45" xfId="0" applyFont="1" applyBorder="1" applyAlignment="1">
      <alignment horizontal="justify" vertical="center" wrapText="1"/>
    </xf>
    <xf numFmtId="0" fontId="17" fillId="0" borderId="41" xfId="0" applyFont="1" applyBorder="1" applyAlignment="1">
      <alignment horizontal="justify" vertical="center" wrapText="1"/>
    </xf>
    <xf numFmtId="0" fontId="15" fillId="0" borderId="47" xfId="0" applyFont="1" applyBorder="1" applyAlignment="1">
      <alignment horizontal="justify" vertical="center" wrapText="1"/>
    </xf>
    <xf numFmtId="0" fontId="15" fillId="0" borderId="43" xfId="0" applyFont="1" applyBorder="1" applyAlignment="1">
      <alignment horizontal="justify" vertical="center" wrapText="1"/>
    </xf>
    <xf numFmtId="0" fontId="24" fillId="8" borderId="48" xfId="0" applyFont="1" applyFill="1" applyBorder="1" applyAlignment="1">
      <alignment horizontal="justify" vertical="center" wrapText="1"/>
    </xf>
    <xf numFmtId="0" fontId="24" fillId="8" borderId="49" xfId="0" applyFont="1" applyFill="1" applyBorder="1" applyAlignment="1">
      <alignment horizontal="justify" vertical="center" wrapText="1"/>
    </xf>
    <xf numFmtId="0" fontId="28" fillId="5" borderId="48" xfId="0" applyFont="1" applyFill="1" applyBorder="1" applyAlignment="1">
      <alignment vertical="center" wrapText="1"/>
    </xf>
    <xf numFmtId="0" fontId="28" fillId="5" borderId="49" xfId="0" applyFont="1" applyFill="1" applyBorder="1" applyAlignment="1">
      <alignment vertical="center" wrapText="1"/>
    </xf>
    <xf numFmtId="0" fontId="15" fillId="9" borderId="48" xfId="0" applyFont="1" applyFill="1" applyBorder="1" applyAlignment="1">
      <alignment vertical="center" wrapText="1"/>
    </xf>
    <xf numFmtId="0" fontId="15" fillId="9" borderId="50" xfId="0" applyFont="1" applyFill="1" applyBorder="1" applyAlignment="1">
      <alignment vertical="center" wrapText="1"/>
    </xf>
    <xf numFmtId="0" fontId="24" fillId="8" borderId="48" xfId="0" applyFont="1" applyFill="1" applyBorder="1" applyAlignment="1">
      <alignment horizontal="left" vertical="center" wrapText="1"/>
    </xf>
    <xf numFmtId="0" fontId="24" fillId="8" borderId="49" xfId="0" applyFont="1" applyFill="1" applyBorder="1" applyAlignment="1">
      <alignment horizontal="left" vertical="center" wrapText="1"/>
    </xf>
    <xf numFmtId="0" fontId="19" fillId="0" borderId="48" xfId="0" applyFont="1" applyBorder="1" applyAlignment="1">
      <alignment vertical="center" wrapText="1"/>
    </xf>
    <xf numFmtId="0" fontId="19" fillId="0" borderId="50" xfId="0" applyFont="1" applyBorder="1" applyAlignment="1">
      <alignment vertical="center" wrapText="1"/>
    </xf>
    <xf numFmtId="0" fontId="15" fillId="0" borderId="12" xfId="0" applyFont="1" applyBorder="1" applyAlignment="1">
      <alignment vertical="center" wrapText="1"/>
    </xf>
    <xf numFmtId="0" fontId="15" fillId="0" borderId="12" xfId="0" applyFont="1" applyBorder="1" applyAlignment="1">
      <alignment horizontal="justify" vertical="center" wrapText="1"/>
    </xf>
    <xf numFmtId="0" fontId="68" fillId="0" borderId="98" xfId="0" applyFont="1" applyBorder="1" applyAlignment="1">
      <alignment horizontal="left" vertical="center" wrapText="1"/>
    </xf>
    <xf numFmtId="0" fontId="68" fillId="0" borderId="99" xfId="0" applyFont="1" applyBorder="1" applyAlignment="1">
      <alignment horizontal="left" vertical="center" wrapText="1"/>
    </xf>
    <xf numFmtId="0" fontId="68" fillId="0" borderId="100" xfId="0" applyFont="1" applyBorder="1" applyAlignment="1">
      <alignment horizontal="left" vertical="center" wrapText="1"/>
    </xf>
    <xf numFmtId="49" fontId="48" fillId="28" borderId="17" xfId="0" applyNumberFormat="1" applyFont="1" applyFill="1" applyBorder="1" applyAlignment="1">
      <alignment horizontal="center" vertical="center" wrapText="1"/>
    </xf>
    <xf numFmtId="49" fontId="48" fillId="28" borderId="18" xfId="0" applyNumberFormat="1" applyFont="1" applyFill="1" applyBorder="1" applyAlignment="1">
      <alignment horizontal="center" vertical="center" wrapText="1"/>
    </xf>
    <xf numFmtId="0" fontId="101" fillId="0" borderId="17" xfId="0" applyFont="1" applyBorder="1" applyAlignment="1">
      <alignment horizontal="center" vertical="center" wrapText="1"/>
    </xf>
    <xf numFmtId="0" fontId="101" fillId="0" borderId="26" xfId="0" applyFont="1" applyBorder="1" applyAlignment="1">
      <alignment horizontal="center" vertical="center" textRotation="90" wrapText="1"/>
    </xf>
    <xf numFmtId="0" fontId="101" fillId="0" borderId="7" xfId="0" applyFont="1" applyBorder="1" applyAlignment="1">
      <alignment horizontal="center" vertical="center" textRotation="90" wrapText="1"/>
    </xf>
    <xf numFmtId="0" fontId="101" fillId="5" borderId="17" xfId="0" applyFont="1" applyFill="1" applyBorder="1" applyAlignment="1">
      <alignment horizontal="center" vertical="center" wrapText="1"/>
    </xf>
    <xf numFmtId="0" fontId="101" fillId="16" borderId="12" xfId="0" applyFont="1" applyFill="1" applyBorder="1" applyAlignment="1">
      <alignment horizontal="center" vertical="center" wrapText="1"/>
    </xf>
    <xf numFmtId="0" fontId="101" fillId="0" borderId="12" xfId="0" applyFont="1" applyBorder="1" applyAlignment="1">
      <alignment horizontal="center" vertical="center" wrapText="1"/>
    </xf>
    <xf numFmtId="0" fontId="101" fillId="0" borderId="13" xfId="0" applyFont="1" applyBorder="1" applyAlignment="1">
      <alignment horizontal="center" vertical="center" wrapText="1"/>
    </xf>
    <xf numFmtId="0" fontId="101" fillId="0" borderId="27" xfId="0" applyFont="1" applyBorder="1" applyAlignment="1">
      <alignment horizontal="center" vertical="center" wrapText="1"/>
    </xf>
    <xf numFmtId="0" fontId="102" fillId="0" borderId="12" xfId="0" applyFont="1" applyBorder="1" applyAlignment="1">
      <alignment horizontal="center" vertical="center" wrapText="1"/>
    </xf>
    <xf numFmtId="0" fontId="101" fillId="0" borderId="20" xfId="0" applyFont="1" applyBorder="1" applyAlignment="1">
      <alignment horizontal="center" vertical="center" wrapText="1"/>
    </xf>
    <xf numFmtId="0" fontId="101" fillId="0" borderId="34" xfId="0" applyFont="1" applyBorder="1" applyAlignment="1">
      <alignment horizontal="center" vertical="center" textRotation="90" wrapText="1"/>
    </xf>
    <xf numFmtId="0" fontId="101" fillId="0" borderId="19" xfId="0" applyFont="1" applyBorder="1" applyAlignment="1">
      <alignment horizontal="center" vertical="center" textRotation="90" wrapText="1"/>
    </xf>
    <xf numFmtId="0" fontId="101" fillId="5" borderId="20" xfId="0" applyFont="1" applyFill="1" applyBorder="1" applyAlignment="1">
      <alignment horizontal="center" vertical="center" wrapText="1"/>
    </xf>
    <xf numFmtId="0" fontId="97" fillId="5" borderId="20" xfId="0" applyFont="1" applyFill="1" applyBorder="1" applyAlignment="1">
      <alignment horizontal="center" vertical="center" wrapText="1"/>
    </xf>
    <xf numFmtId="0" fontId="101" fillId="16" borderId="17" xfId="0" applyFont="1" applyFill="1" applyBorder="1" applyAlignment="1">
      <alignment horizontal="center" vertical="center" wrapText="1"/>
    </xf>
    <xf numFmtId="0" fontId="101" fillId="0" borderId="17" xfId="0" applyFont="1" applyBorder="1" applyAlignment="1">
      <alignment horizontal="center" vertical="center" wrapText="1"/>
    </xf>
    <xf numFmtId="0" fontId="102" fillId="0" borderId="17" xfId="0" applyFont="1" applyBorder="1" applyAlignment="1">
      <alignment horizontal="center" vertical="center" wrapText="1"/>
    </xf>
  </cellXfs>
  <cellStyles count="24">
    <cellStyle name="Comma 2" xfId="1" xr:uid="{00000000-0005-0000-0000-000000000000}"/>
    <cellStyle name="Comma 3" xfId="2" xr:uid="{00000000-0005-0000-0000-000001000000}"/>
    <cellStyle name="Excel Built-in Normal" xfId="3" xr:uid="{00000000-0005-0000-0000-000002000000}"/>
    <cellStyle name="Explanatory Text" xfId="4" xr:uid="{00000000-0005-0000-0000-000003000000}"/>
    <cellStyle name="Good" xfId="5" xr:uid="{00000000-0005-0000-0000-000004000000}"/>
    <cellStyle name="Heading 1" xfId="6" xr:uid="{00000000-0005-0000-0000-000005000000}"/>
    <cellStyle name="Heading 2" xfId="7" xr:uid="{00000000-0005-0000-0000-000006000000}"/>
    <cellStyle name="Heading 3" xfId="8" xr:uid="{00000000-0005-0000-0000-000007000000}"/>
    <cellStyle name="Heading 4" xfId="9" xr:uid="{00000000-0005-0000-0000-000008000000}"/>
    <cellStyle name="Įprastas" xfId="0" builtinId="0"/>
    <cellStyle name="Įprastas 2" xfId="23" xr:uid="{B4A479E5-C2E6-4BE9-AD31-5BDB51D1FAE2}"/>
    <cellStyle name="Kablelis" xfId="21" builtinId="3"/>
    <cellStyle name="Normal 2" xfId="10" xr:uid="{00000000-0005-0000-0000-00000B000000}"/>
    <cellStyle name="Normal 3" xfId="11" xr:uid="{00000000-0005-0000-0000-00000C000000}"/>
    <cellStyle name="Normal_1234LENT" xfId="12" xr:uid="{00000000-0005-0000-0000-00000D000000}"/>
    <cellStyle name="Output" xfId="13" xr:uid="{00000000-0005-0000-0000-00000E000000}"/>
    <cellStyle name="Paprastas 2" xfId="14" xr:uid="{00000000-0005-0000-0000-00000F000000}"/>
    <cellStyle name="Paprastas 3" xfId="15" xr:uid="{00000000-0005-0000-0000-000010000000}"/>
    <cellStyle name="Paprastas_Aplinkos" xfId="16" xr:uid="{00000000-0005-0000-0000-000011000000}"/>
    <cellStyle name="Procentai" xfId="22" builtinId="5"/>
    <cellStyle name="Title" xfId="17" xr:uid="{00000000-0005-0000-0000-000013000000}"/>
    <cellStyle name="Total" xfId="18" xr:uid="{00000000-0005-0000-0000-000014000000}"/>
    <cellStyle name="Warning Text" xfId="19" xr:uid="{00000000-0005-0000-0000-000015000000}"/>
    <cellStyle name="Обычный 2" xfId="20" xr:uid="{00000000-0005-0000-0000-00001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E6E6E6"/>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B3B3B3"/>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 Id="rId30"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lt-LT"/>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'V skyrius. Programos'!$Q$13</c:f>
              <c:strCache>
                <c:ptCount val="1"/>
                <c:pt idx="0">
                  <c:v>2025</c:v>
                </c:pt>
              </c:strCache>
            </c:strRef>
          </c:tx>
          <c:spPr>
            <a:solidFill>
              <a:schemeClr val="accent1"/>
            </a:solidFill>
            <a:ln>
              <a:noFill/>
            </a:ln>
            <a:effectLst/>
          </c:spPr>
          <c:invertIfNegative val="0"/>
          <c:cat>
            <c:multiLvlStrRef>
              <c:f>'V skyrius. Programos'!$R$12:$AB$12</c:f>
            </c:multiLvlStrRef>
          </c:cat>
          <c:val>
            <c:numRef>
              <c:f>'V skyrius. Programos'!$R$13:$AB$13</c:f>
            </c:numRef>
          </c:val>
          <c:extLst>
            <c:ext xmlns:c16="http://schemas.microsoft.com/office/drawing/2014/chart" uri="{C3380CC4-5D6E-409C-BE32-E72D297353CC}">
              <c16:uniqueId val="{00000000-95FE-4B91-8C5A-95447D8AA219}"/>
            </c:ext>
          </c:extLst>
        </c:ser>
        <c:ser>
          <c:idx val="1"/>
          <c:order val="1"/>
          <c:tx>
            <c:strRef>
              <c:f>'V skyrius. Programos'!$Q$14</c:f>
              <c:strCache>
                <c:ptCount val="1"/>
                <c:pt idx="0">
                  <c:v>2026</c:v>
                </c:pt>
              </c:strCache>
            </c:strRef>
          </c:tx>
          <c:spPr>
            <a:solidFill>
              <a:schemeClr val="accent2"/>
            </a:solidFill>
            <a:ln>
              <a:noFill/>
            </a:ln>
            <a:effectLst/>
          </c:spPr>
          <c:invertIfNegative val="0"/>
          <c:cat>
            <c:multiLvlStrRef>
              <c:f>'V skyrius. Programos'!$R$12:$AB$12</c:f>
            </c:multiLvlStrRef>
          </c:cat>
          <c:val>
            <c:numRef>
              <c:f>'V skyrius. Programos'!$R$14:$AB$14</c:f>
            </c:numRef>
          </c:val>
          <c:extLst>
            <c:ext xmlns:c16="http://schemas.microsoft.com/office/drawing/2014/chart" uri="{C3380CC4-5D6E-409C-BE32-E72D297353CC}">
              <c16:uniqueId val="{00000001-95FE-4B91-8C5A-95447D8AA219}"/>
            </c:ext>
          </c:extLst>
        </c:ser>
        <c:ser>
          <c:idx val="2"/>
          <c:order val="2"/>
          <c:tx>
            <c:strRef>
              <c:f>'V skyrius. Programos'!$Q$15</c:f>
              <c:strCache>
                <c:ptCount val="1"/>
                <c:pt idx="0">
                  <c:v>2027</c:v>
                </c:pt>
              </c:strCache>
            </c:strRef>
          </c:tx>
          <c:spPr>
            <a:solidFill>
              <a:schemeClr val="accent3"/>
            </a:solidFill>
            <a:ln>
              <a:noFill/>
            </a:ln>
            <a:effectLst/>
          </c:spPr>
          <c:invertIfNegative val="0"/>
          <c:cat>
            <c:multiLvlStrRef>
              <c:f>'V skyrius. Programos'!$R$12:$AB$12</c:f>
            </c:multiLvlStrRef>
          </c:cat>
          <c:val>
            <c:numRef>
              <c:f>'V skyrius. Programos'!$R$15:$AB$15</c:f>
            </c:numRef>
          </c:val>
          <c:extLst>
            <c:ext xmlns:c16="http://schemas.microsoft.com/office/drawing/2014/chart" uri="{C3380CC4-5D6E-409C-BE32-E72D297353CC}">
              <c16:uniqueId val="{00000002-95FE-4B91-8C5A-95447D8AA219}"/>
            </c:ext>
          </c:extLst>
        </c:ser>
        <c:ser>
          <c:idx val="3"/>
          <c:order val="3"/>
          <c:tx>
            <c:strRef>
              <c:f>'V skyrius. Programos'!$Q$16</c:f>
              <c:strCache>
                <c:ptCount val="1"/>
              </c:strCache>
            </c:strRef>
          </c:tx>
          <c:spPr>
            <a:solidFill>
              <a:schemeClr val="accent4"/>
            </a:solidFill>
            <a:ln>
              <a:noFill/>
            </a:ln>
            <a:effectLst/>
          </c:spPr>
          <c:invertIfNegative val="0"/>
          <c:cat>
            <c:multiLvlStrRef>
              <c:f>'V skyrius. Programos'!$R$12:$AB$12</c:f>
            </c:multiLvlStrRef>
          </c:cat>
          <c:val>
            <c:numRef>
              <c:f>'V skyrius. Programos'!$R$16:$AB$16</c:f>
            </c:numRef>
          </c:val>
          <c:extLst>
            <c:ext xmlns:c16="http://schemas.microsoft.com/office/drawing/2014/chart" uri="{C3380CC4-5D6E-409C-BE32-E72D297353CC}">
              <c16:uniqueId val="{00000003-95FE-4B91-8C5A-95447D8AA219}"/>
            </c:ext>
          </c:extLst>
        </c:ser>
        <c:dLbls>
          <c:showLegendKey val="0"/>
          <c:showVal val="0"/>
          <c:showCatName val="0"/>
          <c:showSerName val="0"/>
          <c:showPercent val="0"/>
          <c:showBubbleSize val="0"/>
        </c:dLbls>
        <c:gapWidth val="219"/>
        <c:overlap val="-27"/>
        <c:axId val="1197211119"/>
        <c:axId val="839328911"/>
      </c:barChart>
      <c:catAx>
        <c:axId val="1197211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839328911"/>
        <c:crosses val="autoZero"/>
        <c:auto val="1"/>
        <c:lblAlgn val="ctr"/>
        <c:lblOffset val="100"/>
        <c:noMultiLvlLbl val="0"/>
      </c:catAx>
      <c:valAx>
        <c:axId val="839328911"/>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crossAx val="11972111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lt-LT"/>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lt-LT"/>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17</xdr:col>
      <xdr:colOff>96416</xdr:colOff>
      <xdr:row>3</xdr:row>
      <xdr:rowOff>826436</xdr:rowOff>
    </xdr:from>
    <xdr:to>
      <xdr:col>24</xdr:col>
      <xdr:colOff>346264</xdr:colOff>
      <xdr:row>9</xdr:row>
      <xdr:rowOff>91048</xdr:rowOff>
    </xdr:to>
    <xdr:graphicFrame macro="">
      <xdr:nvGraphicFramePr>
        <xdr:cNvPr id="5" name="Diagrama 4">
          <a:extLst>
            <a:ext uri="{FF2B5EF4-FFF2-40B4-BE49-F238E27FC236}">
              <a16:creationId xmlns:a16="http://schemas.microsoft.com/office/drawing/2014/main" id="{1F209D8D-AE36-C43C-D2B6-B9014B6139F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399208</xdr:colOff>
      <xdr:row>4</xdr:row>
      <xdr:rowOff>28015</xdr:rowOff>
    </xdr:from>
    <xdr:to>
      <xdr:col>12</xdr:col>
      <xdr:colOff>413216</xdr:colOff>
      <xdr:row>9</xdr:row>
      <xdr:rowOff>179146</xdr:rowOff>
    </xdr:to>
    <xdr:pic>
      <xdr:nvPicPr>
        <xdr:cNvPr id="2" name="Paveikslėlis 1">
          <a:extLst>
            <a:ext uri="{FF2B5EF4-FFF2-40B4-BE49-F238E27FC236}">
              <a16:creationId xmlns:a16="http://schemas.microsoft.com/office/drawing/2014/main" id="{404B0453-9194-F67B-4B0B-E8A8480F02D1}"/>
            </a:ext>
          </a:extLst>
        </xdr:cNvPr>
        <xdr:cNvPicPr>
          <a:picLocks noChangeAspect="1"/>
        </xdr:cNvPicPr>
      </xdr:nvPicPr>
      <xdr:blipFill>
        <a:blip xmlns:r="http://schemas.openxmlformats.org/officeDocument/2006/relationships" r:embed="rId2"/>
        <a:stretch>
          <a:fillRect/>
        </a:stretch>
      </xdr:blipFill>
      <xdr:spPr>
        <a:xfrm>
          <a:off x="1617848" y="1603842"/>
          <a:ext cx="4769504" cy="242032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Inga\AppData\Local\Microsoft\Windows\INetCache\Content.Outlook\7EZS7QXM\2024-01-25%20veiklos%20planas%20i&#353;%20(atrakintas%20koreguotas%20Kontoros).xlsx" TargetMode="External"/><Relationship Id="rId1" Type="http://schemas.openxmlformats.org/officeDocument/2006/relationships/externalLinkPath" Target="/Users/Inga/AppData/Local/Microsoft/Windows/INetCache/Content.Outlook/7EZS7QXM/2024-01-25%20veiklos%20planas%20i&#353;%20(atrakintas%20koreguotas%20Kontor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 skyrius "/>
      <sheetName val="II skyrius"/>
      <sheetName val="III skyrius"/>
      <sheetName val="IV skyrius. Programos"/>
      <sheetName val="Lapas1"/>
      <sheetName val="1 programa "/>
      <sheetName val="2 programa "/>
      <sheetName val="ĮV-E-123 stebėsenos rodikliai"/>
      <sheetName val="3 programa"/>
      <sheetName val="4 programa"/>
      <sheetName val="5 programa"/>
      <sheetName val="6 programa"/>
      <sheetName val="7 programa"/>
      <sheetName val="8 programa"/>
      <sheetName val="9 programa"/>
      <sheetName val="10 programa"/>
      <sheetName val="V skyrius VŠĮ+UAB rodikliai"/>
      <sheetName val="VI skyrius. Kita svarbi info-AN"/>
      <sheetName val="Prioritetai"/>
      <sheetName val="Suvestinė pagal FŠ"/>
      <sheetName val="Vertinimo kriterijai"/>
      <sheetName val="Lapas2"/>
      <sheetName val="Lapas3"/>
      <sheetName val="VERTINIMO KRITERIJAI (2 lentelė"/>
      <sheetName val="Lesu analize"/>
    </sheetNames>
    <sheetDataSet>
      <sheetData sheetId="0" refreshError="1"/>
      <sheetData sheetId="1">
        <row r="10">
          <cell r="D10" t="str">
            <v xml:space="preserve">Gerinti  investicinės aplinkos patrauklumą ir didinti ekonominį potencialą </v>
          </cell>
        </row>
        <row r="18">
          <cell r="D18" t="str">
            <v xml:space="preserve"> Didinti turistinį savivaldybės patrauklumą, teikiant viešąsias paslaugas bei plėtojant viešąją turizmo infrastruktūrą</v>
          </cell>
        </row>
        <row r="22">
          <cell r="D22" t="str">
            <v xml:space="preserve"> Tikslingai naudojant švietimui skirtas lėšas bei kryptingai tobulinant darbuotojų kompetencijas, kiekvienam besimokančiajam sukurti lygiavertes ir šiuolaikiškas kokybiško ugdymo(si) sąlygas, lemiančias geresnius mokinių pasiekimus, optimalią, integracinę, darniai ir racionaliai veikiančią, nuolat atsinaujinančią savivaldybės švietimo sistemą</v>
          </cell>
        </row>
        <row r="30">
          <cell r="D30" t="str">
            <v>Sudaryti sąlygas visų amžiaus grupių ir galimybių visaginiečiams jų sveikai gyvensenai, fiziniam aktyvumui, sportavimui bei siekti, kad tai taptų savivaldybės bendruomenės gyvensenos dalimi</v>
          </cell>
        </row>
        <row r="36">
          <cell r="D36" t="str">
            <v>Įgyvendinti valstybinę kultūros politiką ir formuoti regioninį identitetą, stiprinti pilietiškumą ir bendruomenės į(si)traukimą į kūrybines, kultūrines veiklas</v>
          </cell>
        </row>
        <row r="43">
          <cell r="D43" t="str">
            <v>Stiprinti ir puoselėti gyventojų sveikatą</v>
          </cell>
        </row>
        <row r="47">
          <cell r="D47" t="str">
            <v>Pagerinti  ir plėsti socialinių paslaugų kokybę ir prieinamumą bei sukurti jų plėtrai reikalingą  infrastruktūrą</v>
          </cell>
        </row>
        <row r="49">
          <cell r="D49" t="str">
            <v>Sudaryti galimybes jaunimui atvykti, dirbti ir gyventi Visagino savivaldybėje</v>
          </cell>
        </row>
        <row r="52">
          <cell r="D52" t="str">
            <v xml:space="preserve">Gyventojų socialinio, pilietinio aktyvumo, dalyvavimo savanoriškoje, visuomeninėje veikloje, tarpusavio pasitikėjimo, bendruomenės socialinės atsakomybės ir įsitraukimo didinimas  </v>
          </cell>
        </row>
        <row r="56">
          <cell r="D56" t="str">
            <v>Tobulinti viešojo valdymo sistemą, didinti jos efektyvumą ir atvirumą</v>
          </cell>
        </row>
        <row r="64">
          <cell r="D64" t="str">
            <v>Vykdyti kryptingą darnaus judumo politiką savivaldybėje</v>
          </cell>
        </row>
        <row r="65">
          <cell r="D65" t="str">
            <v>Skatinti bemotorio transporto pasirinkimą ir pėsčiųjų judumą</v>
          </cell>
        </row>
        <row r="68">
          <cell r="D68" t="str">
            <v>Skatinti tvarų miesto teritorijos vystymą</v>
          </cell>
        </row>
        <row r="72">
          <cell r="D72" t="str">
            <v>Skatinti žaliąją savivaldybės plėtrą</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C600F-3CA1-484D-8676-44DBA94AE2DD}">
  <dimension ref="B1:V23"/>
  <sheetViews>
    <sheetView showGridLines="0" tabSelected="1" zoomScale="93" zoomScaleNormal="93" workbookViewId="0">
      <selection activeCell="Q23" sqref="Q23"/>
    </sheetView>
  </sheetViews>
  <sheetFormatPr defaultRowHeight="12.75"/>
  <cols>
    <col min="7" max="7" width="7.28515625" customWidth="1"/>
    <col min="8" max="8" width="7" customWidth="1"/>
    <col min="11" max="11" width="13" customWidth="1"/>
    <col min="12" max="12" width="2.42578125" customWidth="1"/>
  </cols>
  <sheetData>
    <row r="1" spans="2:12" ht="67.150000000000006" customHeight="1">
      <c r="B1" s="63"/>
      <c r="C1" s="64"/>
      <c r="D1" s="64"/>
      <c r="E1" s="64"/>
      <c r="F1" s="64"/>
      <c r="G1" s="64"/>
      <c r="H1" s="2253" t="s">
        <v>3101</v>
      </c>
      <c r="I1" s="2253"/>
      <c r="J1" s="2253"/>
      <c r="K1" s="2253"/>
      <c r="L1" s="2254"/>
    </row>
    <row r="2" spans="2:12">
      <c r="B2" s="65"/>
      <c r="L2" s="66"/>
    </row>
    <row r="3" spans="2:12">
      <c r="B3" s="65"/>
      <c r="L3" s="66"/>
    </row>
    <row r="4" spans="2:12">
      <c r="B4" s="2258" t="s">
        <v>4019</v>
      </c>
      <c r="C4" s="2259"/>
      <c r="D4" s="2259"/>
      <c r="E4" s="2259"/>
      <c r="F4" s="2259"/>
      <c r="G4" s="2259"/>
      <c r="H4" s="2259"/>
      <c r="I4" s="2259"/>
      <c r="J4" s="2259"/>
      <c r="K4" s="2259"/>
      <c r="L4" s="2260"/>
    </row>
    <row r="5" spans="2:12">
      <c r="B5" s="65"/>
      <c r="L5" s="66"/>
    </row>
    <row r="6" spans="2:12" ht="13.15" customHeight="1">
      <c r="B6" s="65"/>
      <c r="L6" s="66"/>
    </row>
    <row r="7" spans="2:12" ht="40.9" customHeight="1">
      <c r="B7" s="2261" t="s">
        <v>2914</v>
      </c>
      <c r="C7" s="2262"/>
      <c r="D7" s="2262"/>
      <c r="E7" s="2262"/>
      <c r="F7" s="2262"/>
      <c r="G7" s="2262"/>
      <c r="H7" s="2262"/>
      <c r="I7" s="2262"/>
      <c r="J7" s="2262"/>
      <c r="K7" s="2262"/>
      <c r="L7" s="2263"/>
    </row>
    <row r="8" spans="2:12" ht="13.5" customHeight="1">
      <c r="B8" s="119"/>
      <c r="C8" s="120"/>
      <c r="D8" s="120"/>
      <c r="E8" s="120"/>
      <c r="F8" s="120"/>
      <c r="G8" s="120"/>
      <c r="H8" s="120"/>
      <c r="I8" s="120"/>
      <c r="J8" s="120"/>
      <c r="K8" s="120"/>
      <c r="L8" s="66"/>
    </row>
    <row r="9" spans="2:12" ht="16.899999999999999" customHeight="1">
      <c r="B9" s="2264" t="s">
        <v>2913</v>
      </c>
      <c r="C9" s="2265"/>
      <c r="D9" s="2265"/>
      <c r="E9" s="2265"/>
      <c r="F9" s="2265"/>
      <c r="G9" s="2265"/>
      <c r="H9" s="2265"/>
      <c r="I9" s="2265"/>
      <c r="J9" s="2265"/>
      <c r="K9" s="2265"/>
      <c r="L9" s="2266"/>
    </row>
    <row r="10" spans="2:12" ht="13.15" customHeight="1">
      <c r="B10" s="119"/>
      <c r="C10" s="120"/>
      <c r="D10" s="120"/>
      <c r="E10" s="120"/>
      <c r="F10" s="120"/>
      <c r="G10" s="120"/>
      <c r="H10" s="120"/>
      <c r="I10" s="120"/>
      <c r="J10" s="120"/>
      <c r="K10" s="120"/>
      <c r="L10" s="66"/>
    </row>
    <row r="11" spans="2:12" ht="13.15" customHeight="1">
      <c r="B11" s="2255" t="s">
        <v>813</v>
      </c>
      <c r="C11" s="2256"/>
      <c r="D11" s="2256"/>
      <c r="E11" s="2256"/>
      <c r="F11" s="2256"/>
      <c r="G11" s="2256"/>
      <c r="H11" s="2256"/>
      <c r="I11" s="2256"/>
      <c r="J11" s="2256"/>
      <c r="K11" s="2256"/>
      <c r="L11" s="2257"/>
    </row>
    <row r="12" spans="2:12">
      <c r="B12" s="2255"/>
      <c r="C12" s="2256"/>
      <c r="D12" s="2256"/>
      <c r="E12" s="2256"/>
      <c r="F12" s="2256"/>
      <c r="G12" s="2256"/>
      <c r="H12" s="2256"/>
      <c r="I12" s="2256"/>
      <c r="J12" s="2256"/>
      <c r="K12" s="2256"/>
      <c r="L12" s="2257"/>
    </row>
    <row r="13" spans="2:12">
      <c r="B13" s="2255"/>
      <c r="C13" s="2256"/>
      <c r="D13" s="2256"/>
      <c r="E13" s="2256"/>
      <c r="F13" s="2256"/>
      <c r="G13" s="2256"/>
      <c r="H13" s="2256"/>
      <c r="I13" s="2256"/>
      <c r="J13" s="2256"/>
      <c r="K13" s="2256"/>
      <c r="L13" s="2257"/>
    </row>
    <row r="14" spans="2:12">
      <c r="B14" s="2255"/>
      <c r="C14" s="2256"/>
      <c r="D14" s="2256"/>
      <c r="E14" s="2256"/>
      <c r="F14" s="2256"/>
      <c r="G14" s="2256"/>
      <c r="H14" s="2256"/>
      <c r="I14" s="2256"/>
      <c r="J14" s="2256"/>
      <c r="K14" s="2256"/>
      <c r="L14" s="2257"/>
    </row>
    <row r="15" spans="2:12" ht="9" customHeight="1">
      <c r="B15" s="2255"/>
      <c r="C15" s="2256"/>
      <c r="D15" s="2256"/>
      <c r="E15" s="2256"/>
      <c r="F15" s="2256"/>
      <c r="G15" s="2256"/>
      <c r="H15" s="2256"/>
      <c r="I15" s="2256"/>
      <c r="J15" s="2256"/>
      <c r="K15" s="2256"/>
      <c r="L15" s="2257"/>
    </row>
    <row r="16" spans="2:12">
      <c r="B16" s="119"/>
      <c r="C16" s="120"/>
      <c r="D16" s="120"/>
      <c r="E16" s="120"/>
      <c r="F16" s="120"/>
      <c r="G16" s="120"/>
      <c r="H16" s="120"/>
      <c r="I16" s="120"/>
      <c r="J16" s="120"/>
      <c r="K16" s="120"/>
      <c r="L16" s="66"/>
    </row>
    <row r="17" spans="2:22">
      <c r="B17" s="2258" t="s">
        <v>2915</v>
      </c>
      <c r="C17" s="2259"/>
      <c r="D17" s="2259"/>
      <c r="E17" s="2259"/>
      <c r="F17" s="2259"/>
      <c r="G17" s="2259"/>
      <c r="H17" s="2259"/>
      <c r="I17" s="2259"/>
      <c r="J17" s="2259"/>
      <c r="K17" s="2259"/>
      <c r="L17" s="2260"/>
      <c r="V17" t="s">
        <v>3023</v>
      </c>
    </row>
    <row r="18" spans="2:22">
      <c r="B18" s="119"/>
      <c r="C18" s="120"/>
      <c r="D18" s="120"/>
      <c r="E18" s="120"/>
      <c r="F18" s="120"/>
      <c r="G18" s="120"/>
      <c r="H18" s="120"/>
      <c r="I18" s="120"/>
      <c r="J18" s="120"/>
      <c r="K18" s="120"/>
      <c r="L18" s="66"/>
    </row>
    <row r="19" spans="2:22" ht="13.15" customHeight="1">
      <c r="B19" s="2255" t="s">
        <v>4193</v>
      </c>
      <c r="C19" s="2256"/>
      <c r="D19" s="2256"/>
      <c r="E19" s="2256"/>
      <c r="F19" s="2256"/>
      <c r="G19" s="2256"/>
      <c r="H19" s="2256"/>
      <c r="I19" s="2256"/>
      <c r="J19" s="2256"/>
      <c r="K19" s="2256"/>
      <c r="L19" s="118"/>
    </row>
    <row r="20" spans="2:22" ht="13.15" customHeight="1">
      <c r="B20" s="2255"/>
      <c r="C20" s="2256"/>
      <c r="D20" s="2256"/>
      <c r="E20" s="2256"/>
      <c r="F20" s="2256"/>
      <c r="G20" s="2256"/>
      <c r="H20" s="2256"/>
      <c r="I20" s="2256"/>
      <c r="J20" s="2256"/>
      <c r="K20" s="2256"/>
      <c r="L20" s="66"/>
    </row>
    <row r="21" spans="2:22">
      <c r="B21" s="2255"/>
      <c r="C21" s="2256"/>
      <c r="D21" s="2256"/>
      <c r="E21" s="2256"/>
      <c r="F21" s="2256"/>
      <c r="G21" s="2256"/>
      <c r="H21" s="2256"/>
      <c r="I21" s="2256"/>
      <c r="J21" s="2256"/>
      <c r="K21" s="2256"/>
      <c r="L21" s="66"/>
    </row>
    <row r="22" spans="2:22">
      <c r="B22" s="2255"/>
      <c r="C22" s="2256"/>
      <c r="D22" s="2256"/>
      <c r="E22" s="2256"/>
      <c r="F22" s="2256"/>
      <c r="G22" s="2256"/>
      <c r="H22" s="2256"/>
      <c r="I22" s="2256"/>
      <c r="J22" s="2256"/>
      <c r="K22" s="2256"/>
      <c r="L22" s="66"/>
    </row>
    <row r="23" spans="2:22" ht="232.9" customHeight="1" thickBot="1">
      <c r="B23" s="147"/>
      <c r="C23" s="148"/>
      <c r="D23" s="148"/>
      <c r="E23" s="148"/>
      <c r="F23" s="148"/>
      <c r="G23" s="148"/>
      <c r="H23" s="148"/>
      <c r="I23" s="148"/>
      <c r="J23" s="148"/>
      <c r="K23" s="148"/>
      <c r="L23" s="149"/>
    </row>
  </sheetData>
  <sheetProtection algorithmName="SHA-512" hashValue="h4If2GWmeIOaQMCFubN3bi504kth1gvHKm3u2npoMf0bC9akTE38tDht5ab/YDoqv6Zdn2uwAJGXTmT+ZJ50LA==" saltValue="TkA+/JFhYUtXI/hrGD83Kw==" spinCount="100000" sheet="1" objects="1" scenarios="1"/>
  <mergeCells count="7">
    <mergeCell ref="H1:L1"/>
    <mergeCell ref="B11:L15"/>
    <mergeCell ref="B17:L17"/>
    <mergeCell ref="B19:K22"/>
    <mergeCell ref="B4:L4"/>
    <mergeCell ref="B7:L7"/>
    <mergeCell ref="B9:L9"/>
  </mergeCells>
  <pageMargins left="0.7" right="0.7" top="0.75" bottom="0.75" header="0.3" footer="0.3"/>
  <pageSetup paperSize="9" scale="55"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21249-DBE5-4A46-B058-5F9EB91E9643}">
  <dimension ref="B1:X87"/>
  <sheetViews>
    <sheetView zoomScale="95" zoomScaleNormal="95" zoomScaleSheetLayoutView="89" workbookViewId="0">
      <selection activeCell="O12" sqref="O12"/>
    </sheetView>
  </sheetViews>
  <sheetFormatPr defaultRowHeight="12.75"/>
  <cols>
    <col min="3" max="3" width="11" customWidth="1"/>
    <col min="4" max="4" width="60.7109375" customWidth="1"/>
    <col min="5" max="5" width="54.140625" customWidth="1"/>
    <col min="6" max="6" width="15.85546875" style="1" customWidth="1"/>
    <col min="7" max="7" width="18.42578125" style="1" hidden="1" customWidth="1"/>
    <col min="8" max="8" width="17.42578125" style="1" customWidth="1"/>
    <col min="9" max="10" width="20.5703125" style="1" customWidth="1"/>
    <col min="11" max="11" width="20.85546875" style="1" hidden="1" customWidth="1"/>
    <col min="12" max="12" width="20.85546875" style="1" customWidth="1"/>
    <col min="13" max="13" width="21.7109375" style="1" customWidth="1"/>
    <col min="14" max="14" width="17.5703125" customWidth="1"/>
    <col min="15" max="15" width="41.7109375" customWidth="1"/>
  </cols>
  <sheetData>
    <row r="1" spans="2:15" ht="13.5" thickBot="1">
      <c r="E1" s="71"/>
    </row>
    <row r="2" spans="2:15">
      <c r="B2" s="63"/>
      <c r="C2" s="64"/>
      <c r="D2" s="64"/>
      <c r="E2" s="72"/>
      <c r="F2" s="246"/>
      <c r="G2" s="246"/>
      <c r="H2" s="246"/>
      <c r="I2" s="246"/>
      <c r="J2" s="246"/>
      <c r="K2" s="246"/>
      <c r="L2" s="246"/>
      <c r="M2" s="246"/>
      <c r="N2" s="70"/>
    </row>
    <row r="3" spans="2:15" ht="15.75">
      <c r="B3" s="2282" t="s">
        <v>716</v>
      </c>
      <c r="C3" s="2283"/>
      <c r="D3" s="2283"/>
      <c r="E3" s="2283"/>
      <c r="F3" s="2283"/>
      <c r="G3" s="2283"/>
      <c r="H3" s="2283"/>
      <c r="I3" s="2283"/>
      <c r="J3" s="2283"/>
      <c r="K3" s="2283"/>
      <c r="L3" s="2283"/>
      <c r="M3" s="2283"/>
      <c r="N3" s="2284"/>
    </row>
    <row r="4" spans="2:15" ht="15.75">
      <c r="B4" s="2282" t="s">
        <v>815</v>
      </c>
      <c r="C4" s="2283"/>
      <c r="D4" s="2283"/>
      <c r="E4" s="2283"/>
      <c r="F4" s="2283"/>
      <c r="G4" s="2283"/>
      <c r="H4" s="2283"/>
      <c r="I4" s="2283"/>
      <c r="J4" s="2283"/>
      <c r="K4" s="2283"/>
      <c r="L4" s="2283"/>
      <c r="M4" s="2283"/>
      <c r="N4" s="2284"/>
    </row>
    <row r="5" spans="2:15" ht="15.75">
      <c r="B5" s="65"/>
      <c r="E5" s="73"/>
      <c r="N5" s="66"/>
    </row>
    <row r="6" spans="2:15" ht="33" customHeight="1">
      <c r="B6" s="65"/>
      <c r="C6" s="2281" t="s">
        <v>2563</v>
      </c>
      <c r="D6" s="2281"/>
      <c r="N6" s="66"/>
    </row>
    <row r="7" spans="2:15" ht="52.5" customHeight="1">
      <c r="B7" s="65"/>
      <c r="C7" s="2279" t="s">
        <v>1058</v>
      </c>
      <c r="D7" s="2279" t="s">
        <v>717</v>
      </c>
      <c r="E7" s="2279" t="s">
        <v>718</v>
      </c>
      <c r="F7" s="2273" t="s">
        <v>1070</v>
      </c>
      <c r="G7" s="2290" t="s">
        <v>719</v>
      </c>
      <c r="H7" s="2291"/>
      <c r="I7" s="2291"/>
      <c r="J7" s="2292"/>
      <c r="K7" s="2273" t="s">
        <v>818</v>
      </c>
      <c r="L7" s="2285" t="s">
        <v>3837</v>
      </c>
      <c r="M7" s="2273" t="s">
        <v>817</v>
      </c>
      <c r="N7" s="66"/>
    </row>
    <row r="8" spans="2:15" ht="15.75" customHeight="1">
      <c r="B8" s="65"/>
      <c r="C8" s="2280"/>
      <c r="D8" s="2280"/>
      <c r="E8" s="2280"/>
      <c r="F8" s="2274"/>
      <c r="G8" s="247" t="s">
        <v>779</v>
      </c>
      <c r="H8" s="247" t="s">
        <v>780</v>
      </c>
      <c r="I8" s="247" t="s">
        <v>814</v>
      </c>
      <c r="J8" s="728" t="s">
        <v>3096</v>
      </c>
      <c r="K8" s="2274"/>
      <c r="L8" s="2286"/>
      <c r="M8" s="2274"/>
      <c r="N8" s="66"/>
    </row>
    <row r="9" spans="2:15">
      <c r="B9" s="65"/>
      <c r="C9" s="74">
        <v>1</v>
      </c>
      <c r="D9" s="74">
        <v>2</v>
      </c>
      <c r="E9" s="74">
        <v>3</v>
      </c>
      <c r="F9" s="248">
        <v>4</v>
      </c>
      <c r="G9" s="248">
        <v>5</v>
      </c>
      <c r="H9" s="248">
        <v>6</v>
      </c>
      <c r="I9" s="248">
        <v>7</v>
      </c>
      <c r="J9" s="729">
        <v>7</v>
      </c>
      <c r="K9" s="248">
        <v>8</v>
      </c>
      <c r="L9" s="248">
        <v>8</v>
      </c>
      <c r="M9" s="248">
        <v>9</v>
      </c>
      <c r="N9" s="66"/>
    </row>
    <row r="10" spans="2:15" ht="50.45" customHeight="1">
      <c r="B10" s="65"/>
      <c r="C10" s="80" t="s">
        <v>775</v>
      </c>
      <c r="D10" s="81" t="s">
        <v>2527</v>
      </c>
      <c r="E10" s="81" t="s">
        <v>816</v>
      </c>
      <c r="F10" s="249">
        <v>7470</v>
      </c>
      <c r="G10" s="249">
        <v>7450</v>
      </c>
      <c r="H10" s="249">
        <v>8000</v>
      </c>
      <c r="I10" s="249">
        <v>8000</v>
      </c>
      <c r="J10" s="249">
        <v>8000</v>
      </c>
      <c r="K10" s="249">
        <v>7470</v>
      </c>
      <c r="L10" s="249" t="s">
        <v>4111</v>
      </c>
      <c r="M10" s="249" t="s">
        <v>3725</v>
      </c>
      <c r="N10" s="66"/>
      <c r="O10" s="585"/>
    </row>
    <row r="11" spans="2:15" ht="43.5" customHeight="1">
      <c r="B11" s="65"/>
      <c r="C11" s="2275" t="s">
        <v>838</v>
      </c>
      <c r="D11" s="2272" t="s">
        <v>1059</v>
      </c>
      <c r="E11" s="76" t="s">
        <v>819</v>
      </c>
      <c r="F11" s="250" t="s">
        <v>821</v>
      </c>
      <c r="G11" s="250">
        <v>889</v>
      </c>
      <c r="H11" s="250">
        <v>1475</v>
      </c>
      <c r="I11" s="250">
        <v>1475</v>
      </c>
      <c r="J11" s="250">
        <v>1475</v>
      </c>
      <c r="K11" s="250" t="s">
        <v>821</v>
      </c>
      <c r="L11" s="250" t="s">
        <v>4171</v>
      </c>
      <c r="M11" s="250" t="s">
        <v>823</v>
      </c>
      <c r="N11" s="66"/>
    </row>
    <row r="12" spans="2:15" ht="55.5" customHeight="1">
      <c r="B12" s="65"/>
      <c r="C12" s="2277"/>
      <c r="D12" s="2272"/>
      <c r="E12" s="76" t="s">
        <v>820</v>
      </c>
      <c r="F12" s="250" t="s">
        <v>822</v>
      </c>
      <c r="G12" s="251">
        <v>739</v>
      </c>
      <c r="H12" s="251">
        <v>908</v>
      </c>
      <c r="I12" s="251">
        <v>908</v>
      </c>
      <c r="J12" s="251">
        <v>908</v>
      </c>
      <c r="K12" s="250" t="s">
        <v>822</v>
      </c>
      <c r="L12" s="250" t="s">
        <v>4172</v>
      </c>
      <c r="M12" s="250" t="s">
        <v>824</v>
      </c>
      <c r="N12" s="66"/>
    </row>
    <row r="13" spans="2:15" ht="55.5" customHeight="1">
      <c r="B13" s="65"/>
      <c r="C13" s="75" t="s">
        <v>1060</v>
      </c>
      <c r="D13" s="76" t="s">
        <v>1061</v>
      </c>
      <c r="E13" s="76" t="s">
        <v>825</v>
      </c>
      <c r="F13" s="250" t="s">
        <v>833</v>
      </c>
      <c r="G13" s="251">
        <v>14.78</v>
      </c>
      <c r="H13" s="251">
        <v>17.71</v>
      </c>
      <c r="I13" s="251">
        <v>17.71</v>
      </c>
      <c r="J13" s="251">
        <v>17.71</v>
      </c>
      <c r="K13" s="250" t="s">
        <v>833</v>
      </c>
      <c r="L13" s="250" t="s">
        <v>3602</v>
      </c>
      <c r="M13" s="250" t="s">
        <v>829</v>
      </c>
      <c r="N13" s="66"/>
    </row>
    <row r="14" spans="2:15" ht="55.5" customHeight="1">
      <c r="B14" s="65"/>
      <c r="C14" s="2275"/>
      <c r="D14" s="2270"/>
      <c r="E14" s="76" t="s">
        <v>826</v>
      </c>
      <c r="F14" s="250" t="s">
        <v>834</v>
      </c>
      <c r="G14" s="251">
        <v>19.55</v>
      </c>
      <c r="H14" s="251">
        <v>11.28</v>
      </c>
      <c r="I14" s="251">
        <v>11.28</v>
      </c>
      <c r="J14" s="251">
        <v>11.28</v>
      </c>
      <c r="K14" s="250" t="s">
        <v>834</v>
      </c>
      <c r="L14" s="250" t="s">
        <v>4173</v>
      </c>
      <c r="M14" s="250" t="s">
        <v>830</v>
      </c>
      <c r="N14" s="66"/>
    </row>
    <row r="15" spans="2:15" ht="43.5" customHeight="1">
      <c r="B15" s="65"/>
      <c r="C15" s="2276"/>
      <c r="D15" s="2278"/>
      <c r="E15" s="76" t="s">
        <v>827</v>
      </c>
      <c r="F15" s="250" t="s">
        <v>835</v>
      </c>
      <c r="G15" s="251">
        <v>1</v>
      </c>
      <c r="H15" s="251">
        <v>0</v>
      </c>
      <c r="I15" s="251">
        <v>0</v>
      </c>
      <c r="J15" s="251">
        <v>0</v>
      </c>
      <c r="K15" s="250" t="s">
        <v>835</v>
      </c>
      <c r="L15" s="250" t="s">
        <v>831</v>
      </c>
      <c r="M15" s="250" t="s">
        <v>3603</v>
      </c>
      <c r="N15" s="66"/>
    </row>
    <row r="16" spans="2:15" ht="45.75" customHeight="1">
      <c r="B16" s="65"/>
      <c r="C16" s="2277"/>
      <c r="D16" s="2271"/>
      <c r="E16" s="76" t="s">
        <v>828</v>
      </c>
      <c r="F16" s="250" t="s">
        <v>836</v>
      </c>
      <c r="G16" s="251">
        <v>25</v>
      </c>
      <c r="H16" s="251">
        <v>35</v>
      </c>
      <c r="I16" s="251">
        <v>45</v>
      </c>
      <c r="J16" s="251">
        <v>45</v>
      </c>
      <c r="K16" s="250" t="s">
        <v>836</v>
      </c>
      <c r="L16" s="250" t="s">
        <v>3604</v>
      </c>
      <c r="M16" s="250" t="s">
        <v>3605</v>
      </c>
      <c r="N16" s="66"/>
    </row>
    <row r="17" spans="2:14" ht="55.5" customHeight="1">
      <c r="B17" s="65"/>
      <c r="C17" s="75" t="s">
        <v>842</v>
      </c>
      <c r="D17" s="76" t="s">
        <v>843</v>
      </c>
      <c r="E17" s="76" t="s">
        <v>837</v>
      </c>
      <c r="F17" s="250" t="s">
        <v>844</v>
      </c>
      <c r="G17" s="251">
        <v>2</v>
      </c>
      <c r="H17" s="251">
        <v>2</v>
      </c>
      <c r="I17" s="251">
        <v>3</v>
      </c>
      <c r="J17" s="251">
        <v>3</v>
      </c>
      <c r="K17" s="250" t="s">
        <v>844</v>
      </c>
      <c r="L17" s="250" t="s">
        <v>3606</v>
      </c>
      <c r="M17" s="250" t="s">
        <v>845</v>
      </c>
      <c r="N17" s="66"/>
    </row>
    <row r="18" spans="2:14" ht="60.75" customHeight="1">
      <c r="B18" s="65"/>
      <c r="C18" s="80" t="s">
        <v>776</v>
      </c>
      <c r="D18" s="81" t="s">
        <v>1062</v>
      </c>
      <c r="E18" s="81" t="s">
        <v>846</v>
      </c>
      <c r="F18" s="252" t="s">
        <v>847</v>
      </c>
      <c r="G18" s="252">
        <v>7855</v>
      </c>
      <c r="H18" s="252">
        <v>6200</v>
      </c>
      <c r="I18" s="252">
        <v>6600</v>
      </c>
      <c r="J18" s="252">
        <v>7000</v>
      </c>
      <c r="K18" s="249" t="s">
        <v>847</v>
      </c>
      <c r="L18" s="249" t="s">
        <v>3713</v>
      </c>
      <c r="M18" s="249" t="s">
        <v>848</v>
      </c>
      <c r="N18" s="66"/>
    </row>
    <row r="19" spans="2:14" ht="68.25" customHeight="1">
      <c r="B19" s="65"/>
      <c r="C19" s="75" t="s">
        <v>849</v>
      </c>
      <c r="D19" s="76" t="s">
        <v>1063</v>
      </c>
      <c r="E19" s="76" t="s">
        <v>850</v>
      </c>
      <c r="F19" s="250" t="s">
        <v>851</v>
      </c>
      <c r="G19" s="251">
        <v>72</v>
      </c>
      <c r="H19" s="251">
        <v>55</v>
      </c>
      <c r="I19" s="251">
        <v>54</v>
      </c>
      <c r="J19" s="251">
        <v>53</v>
      </c>
      <c r="K19" s="250" t="s">
        <v>851</v>
      </c>
      <c r="L19" s="250" t="s">
        <v>3714</v>
      </c>
      <c r="M19" s="250" t="s">
        <v>852</v>
      </c>
      <c r="N19" s="66"/>
    </row>
    <row r="20" spans="2:14" ht="59.25" customHeight="1">
      <c r="B20" s="65"/>
      <c r="C20" s="75" t="s">
        <v>1064</v>
      </c>
      <c r="D20" s="76" t="s">
        <v>1065</v>
      </c>
      <c r="E20" s="76" t="s">
        <v>855</v>
      </c>
      <c r="F20" s="250" t="s">
        <v>835</v>
      </c>
      <c r="G20" s="251">
        <v>4</v>
      </c>
      <c r="H20" s="251">
        <v>1</v>
      </c>
      <c r="I20" s="251">
        <v>1</v>
      </c>
      <c r="J20" s="251">
        <v>1</v>
      </c>
      <c r="K20" s="250" t="s">
        <v>835</v>
      </c>
      <c r="L20" s="250" t="s">
        <v>831</v>
      </c>
      <c r="M20" s="250" t="s">
        <v>854</v>
      </c>
      <c r="N20" s="66"/>
    </row>
    <row r="21" spans="2:14" ht="64.5" customHeight="1">
      <c r="B21" s="65"/>
      <c r="C21" s="75" t="s">
        <v>856</v>
      </c>
      <c r="D21" s="76" t="s">
        <v>4198</v>
      </c>
      <c r="E21" s="76" t="s">
        <v>857</v>
      </c>
      <c r="F21" s="250" t="s">
        <v>835</v>
      </c>
      <c r="G21" s="251">
        <v>50</v>
      </c>
      <c r="H21" s="251">
        <v>1500</v>
      </c>
      <c r="I21" s="251">
        <v>1600</v>
      </c>
      <c r="J21" s="251">
        <v>1700</v>
      </c>
      <c r="K21" s="250" t="s">
        <v>835</v>
      </c>
      <c r="L21" s="250" t="s">
        <v>3715</v>
      </c>
      <c r="M21" s="250" t="s">
        <v>848</v>
      </c>
      <c r="N21" s="66"/>
    </row>
    <row r="22" spans="2:14" ht="123" customHeight="1">
      <c r="B22" s="65"/>
      <c r="C22" s="80" t="s">
        <v>1066</v>
      </c>
      <c r="D22" s="81" t="s">
        <v>1067</v>
      </c>
      <c r="E22" s="81" t="s">
        <v>858</v>
      </c>
      <c r="F22" s="249" t="s">
        <v>835</v>
      </c>
      <c r="G22" s="252">
        <v>50</v>
      </c>
      <c r="H22" s="252">
        <v>70</v>
      </c>
      <c r="I22" s="252">
        <v>100</v>
      </c>
      <c r="J22" s="252" t="s">
        <v>4199</v>
      </c>
      <c r="K22" s="249" t="s">
        <v>835</v>
      </c>
      <c r="L22" s="249" t="s">
        <v>3804</v>
      </c>
      <c r="M22" s="249" t="s">
        <v>3805</v>
      </c>
      <c r="N22" s="66"/>
    </row>
    <row r="23" spans="2:14" ht="52.15" customHeight="1">
      <c r="B23" s="79"/>
      <c r="C23" s="2275" t="s">
        <v>859</v>
      </c>
      <c r="D23" s="2270" t="s">
        <v>860</v>
      </c>
      <c r="E23" s="76" t="s">
        <v>861</v>
      </c>
      <c r="F23" s="250" t="s">
        <v>862</v>
      </c>
      <c r="G23" s="251">
        <v>895</v>
      </c>
      <c r="H23" s="251">
        <v>895</v>
      </c>
      <c r="I23" s="251">
        <v>895</v>
      </c>
      <c r="J23" s="251">
        <v>895</v>
      </c>
      <c r="K23" s="250" t="s">
        <v>862</v>
      </c>
      <c r="L23" s="250" t="s">
        <v>862</v>
      </c>
      <c r="M23" s="250" t="s">
        <v>863</v>
      </c>
      <c r="N23" s="66"/>
    </row>
    <row r="24" spans="2:14" ht="48" customHeight="1" thickBot="1">
      <c r="B24" s="79"/>
      <c r="C24" s="2277"/>
      <c r="D24" s="2271"/>
      <c r="E24" s="76" t="s">
        <v>864</v>
      </c>
      <c r="F24" s="250" t="s">
        <v>835</v>
      </c>
      <c r="G24" s="251">
        <v>0</v>
      </c>
      <c r="H24" s="251">
        <v>60</v>
      </c>
      <c r="I24" s="251">
        <v>60</v>
      </c>
      <c r="J24" s="251">
        <v>60</v>
      </c>
      <c r="K24" s="250" t="s">
        <v>3806</v>
      </c>
      <c r="L24" s="250" t="s">
        <v>3604</v>
      </c>
      <c r="M24" s="250" t="s">
        <v>865</v>
      </c>
      <c r="N24" s="69"/>
    </row>
    <row r="25" spans="2:14" ht="69" customHeight="1">
      <c r="B25" s="79"/>
      <c r="C25" s="75" t="s">
        <v>866</v>
      </c>
      <c r="D25" s="76" t="s">
        <v>867</v>
      </c>
      <c r="E25" s="76" t="s">
        <v>868</v>
      </c>
      <c r="F25" s="250" t="s">
        <v>835</v>
      </c>
      <c r="G25" s="251">
        <v>0</v>
      </c>
      <c r="H25" s="251">
        <v>83</v>
      </c>
      <c r="I25" s="251">
        <v>84</v>
      </c>
      <c r="J25" s="251">
        <v>84</v>
      </c>
      <c r="K25" s="250" t="s">
        <v>3807</v>
      </c>
      <c r="L25" s="250" t="s">
        <v>3808</v>
      </c>
      <c r="M25" s="250" t="s">
        <v>869</v>
      </c>
      <c r="N25" s="66"/>
    </row>
    <row r="26" spans="2:14" ht="51">
      <c r="B26" s="79"/>
      <c r="C26" s="75" t="s">
        <v>1041</v>
      </c>
      <c r="D26" s="76" t="s">
        <v>870</v>
      </c>
      <c r="E26" s="76" t="s">
        <v>4200</v>
      </c>
      <c r="F26" s="250" t="s">
        <v>835</v>
      </c>
      <c r="G26" s="251">
        <v>3</v>
      </c>
      <c r="H26" s="251">
        <v>3</v>
      </c>
      <c r="I26" s="251">
        <v>0</v>
      </c>
      <c r="J26" s="251">
        <v>0</v>
      </c>
      <c r="K26" s="250" t="s">
        <v>3809</v>
      </c>
      <c r="L26" s="250" t="s">
        <v>3606</v>
      </c>
      <c r="M26" s="250" t="s">
        <v>871</v>
      </c>
      <c r="N26" s="66"/>
    </row>
    <row r="27" spans="2:14" ht="38.25">
      <c r="B27" s="77"/>
      <c r="C27" s="75" t="s">
        <v>872</v>
      </c>
      <c r="D27" s="76" t="s">
        <v>873</v>
      </c>
      <c r="E27" s="76" t="s">
        <v>874</v>
      </c>
      <c r="F27" s="250" t="s">
        <v>835</v>
      </c>
      <c r="G27" s="251">
        <v>1</v>
      </c>
      <c r="H27" s="251">
        <v>1</v>
      </c>
      <c r="I27" s="251">
        <v>1</v>
      </c>
      <c r="J27" s="251">
        <v>1</v>
      </c>
      <c r="K27" s="702" t="s">
        <v>835</v>
      </c>
      <c r="L27" s="704" t="s">
        <v>3718</v>
      </c>
      <c r="M27" s="250" t="s">
        <v>854</v>
      </c>
      <c r="N27" s="66"/>
    </row>
    <row r="28" spans="2:14" ht="38.25">
      <c r="B28" s="65"/>
      <c r="C28" s="75" t="s">
        <v>875</v>
      </c>
      <c r="D28" s="76" t="s">
        <v>876</v>
      </c>
      <c r="E28" s="76" t="s">
        <v>357</v>
      </c>
      <c r="F28" s="250" t="s">
        <v>877</v>
      </c>
      <c r="G28" s="251">
        <v>0</v>
      </c>
      <c r="H28" s="251">
        <v>1</v>
      </c>
      <c r="I28" s="251">
        <v>1</v>
      </c>
      <c r="J28" s="251">
        <v>1</v>
      </c>
      <c r="K28" s="250" t="s">
        <v>3810</v>
      </c>
      <c r="L28" s="250" t="s">
        <v>831</v>
      </c>
      <c r="M28" s="250" t="s">
        <v>841</v>
      </c>
      <c r="N28" s="66"/>
    </row>
    <row r="29" spans="2:14" ht="80.45" customHeight="1">
      <c r="B29" s="65"/>
      <c r="C29" s="75" t="s">
        <v>880</v>
      </c>
      <c r="D29" s="76" t="s">
        <v>881</v>
      </c>
      <c r="E29" s="76" t="s">
        <v>882</v>
      </c>
      <c r="F29" s="250" t="s">
        <v>835</v>
      </c>
      <c r="G29" s="251">
        <v>80</v>
      </c>
      <c r="H29" s="251">
        <v>82</v>
      </c>
      <c r="I29" s="251">
        <v>85</v>
      </c>
      <c r="J29" s="251">
        <v>85</v>
      </c>
      <c r="K29" s="250" t="s">
        <v>835</v>
      </c>
      <c r="L29" s="250" t="s">
        <v>3811</v>
      </c>
      <c r="M29" s="250" t="s">
        <v>883</v>
      </c>
      <c r="N29" s="66"/>
    </row>
    <row r="30" spans="2:14" ht="54" customHeight="1">
      <c r="B30" s="65"/>
      <c r="C30" s="80" t="s">
        <v>1042</v>
      </c>
      <c r="D30" s="81" t="s">
        <v>886</v>
      </c>
      <c r="E30" s="81" t="s">
        <v>887</v>
      </c>
      <c r="F30" s="249" t="s">
        <v>888</v>
      </c>
      <c r="G30" s="252">
        <v>12</v>
      </c>
      <c r="H30" s="252">
        <v>12</v>
      </c>
      <c r="I30" s="252">
        <v>13</v>
      </c>
      <c r="J30" s="252">
        <v>14</v>
      </c>
      <c r="K30" s="249" t="s">
        <v>888</v>
      </c>
      <c r="L30" s="249" t="s">
        <v>4140</v>
      </c>
      <c r="M30" s="249" t="s">
        <v>889</v>
      </c>
      <c r="N30" s="66"/>
    </row>
    <row r="31" spans="2:14" ht="38.25">
      <c r="B31" s="65"/>
      <c r="C31" s="75" t="s">
        <v>890</v>
      </c>
      <c r="D31" s="76" t="s">
        <v>891</v>
      </c>
      <c r="E31" s="76" t="s">
        <v>892</v>
      </c>
      <c r="F31" s="250" t="s">
        <v>893</v>
      </c>
      <c r="G31" s="251">
        <v>3000</v>
      </c>
      <c r="H31" s="251">
        <v>3200</v>
      </c>
      <c r="I31" s="251">
        <v>3250</v>
      </c>
      <c r="J31" s="251">
        <v>3300</v>
      </c>
      <c r="K31" s="250" t="s">
        <v>893</v>
      </c>
      <c r="L31" s="250" t="s">
        <v>3812</v>
      </c>
      <c r="M31" s="250" t="s">
        <v>3012</v>
      </c>
      <c r="N31" s="66"/>
    </row>
    <row r="32" spans="2:14" ht="33.75" customHeight="1">
      <c r="B32" s="77"/>
      <c r="C32" s="75" t="s">
        <v>894</v>
      </c>
      <c r="D32" s="76" t="s">
        <v>895</v>
      </c>
      <c r="E32" s="76" t="s">
        <v>2477</v>
      </c>
      <c r="F32" s="250" t="s">
        <v>896</v>
      </c>
      <c r="G32" s="251">
        <v>20</v>
      </c>
      <c r="H32" s="251">
        <v>26</v>
      </c>
      <c r="I32" s="251">
        <v>27</v>
      </c>
      <c r="J32" s="251">
        <v>27</v>
      </c>
      <c r="K32" s="250" t="s">
        <v>896</v>
      </c>
      <c r="L32" s="250" t="s">
        <v>3813</v>
      </c>
      <c r="M32" s="250" t="s">
        <v>897</v>
      </c>
      <c r="N32" s="66"/>
    </row>
    <row r="33" spans="2:14" ht="51">
      <c r="B33" s="65"/>
      <c r="C33" s="75" t="s">
        <v>898</v>
      </c>
      <c r="D33" s="76" t="s">
        <v>899</v>
      </c>
      <c r="E33" s="76" t="s">
        <v>900</v>
      </c>
      <c r="F33" s="250" t="s">
        <v>976</v>
      </c>
      <c r="G33" s="251">
        <v>30</v>
      </c>
      <c r="H33" s="250" t="s">
        <v>3814</v>
      </c>
      <c r="I33" s="250" t="s">
        <v>3814</v>
      </c>
      <c r="J33" s="250" t="s">
        <v>3815</v>
      </c>
      <c r="K33" s="250" t="s">
        <v>976</v>
      </c>
      <c r="L33" s="250" t="s">
        <v>3816</v>
      </c>
      <c r="M33" s="250" t="s">
        <v>884</v>
      </c>
      <c r="N33" s="66"/>
    </row>
    <row r="34" spans="2:14" ht="41.25" customHeight="1">
      <c r="B34" s="65"/>
      <c r="C34" s="75" t="s">
        <v>901</v>
      </c>
      <c r="D34" s="76" t="s">
        <v>902</v>
      </c>
      <c r="E34" s="76" t="s">
        <v>903</v>
      </c>
      <c r="F34" s="250" t="s">
        <v>835</v>
      </c>
      <c r="G34" s="251">
        <v>40</v>
      </c>
      <c r="H34" s="251">
        <v>50</v>
      </c>
      <c r="I34" s="251">
        <v>55</v>
      </c>
      <c r="J34" s="251">
        <v>60</v>
      </c>
      <c r="K34" s="250" t="s">
        <v>835</v>
      </c>
      <c r="L34" s="250" t="s">
        <v>3804</v>
      </c>
      <c r="M34" s="250" t="s">
        <v>883</v>
      </c>
      <c r="N34" s="66"/>
    </row>
    <row r="35" spans="2:14" ht="70.5" customHeight="1">
      <c r="B35" s="65"/>
      <c r="C35" s="75" t="s">
        <v>904</v>
      </c>
      <c r="D35" s="76" t="s">
        <v>905</v>
      </c>
      <c r="E35" s="76" t="s">
        <v>4201</v>
      </c>
      <c r="F35" s="250" t="s">
        <v>835</v>
      </c>
      <c r="G35" s="251">
        <v>1</v>
      </c>
      <c r="H35" s="251">
        <v>2</v>
      </c>
      <c r="I35" s="251">
        <v>2</v>
      </c>
      <c r="J35" s="251">
        <v>2.5</v>
      </c>
      <c r="K35" s="250" t="s">
        <v>835</v>
      </c>
      <c r="L35" s="250" t="s">
        <v>3607</v>
      </c>
      <c r="M35" s="250" t="s">
        <v>841</v>
      </c>
      <c r="N35" s="66"/>
    </row>
    <row r="36" spans="2:14" ht="59.45" customHeight="1">
      <c r="B36" s="65"/>
      <c r="C36" s="80" t="s">
        <v>1043</v>
      </c>
      <c r="D36" s="81" t="s">
        <v>906</v>
      </c>
      <c r="E36" s="81" t="s">
        <v>907</v>
      </c>
      <c r="F36" s="249" t="s">
        <v>835</v>
      </c>
      <c r="G36" s="252">
        <v>40</v>
      </c>
      <c r="H36" s="252">
        <v>50</v>
      </c>
      <c r="I36" s="252">
        <v>60</v>
      </c>
      <c r="J36" s="252">
        <v>60</v>
      </c>
      <c r="K36" s="249" t="s">
        <v>835</v>
      </c>
      <c r="L36" s="249" t="s">
        <v>3724</v>
      </c>
      <c r="M36" s="249" t="s">
        <v>908</v>
      </c>
      <c r="N36" s="66"/>
    </row>
    <row r="37" spans="2:14" ht="38.25">
      <c r="B37" s="77"/>
      <c r="C37" s="75" t="s">
        <v>909</v>
      </c>
      <c r="D37" s="76" t="s">
        <v>910</v>
      </c>
      <c r="E37" s="76" t="s">
        <v>911</v>
      </c>
      <c r="F37" s="250" t="s">
        <v>912</v>
      </c>
      <c r="G37" s="251">
        <v>20</v>
      </c>
      <c r="H37" s="251">
        <v>30</v>
      </c>
      <c r="I37" s="251">
        <v>40</v>
      </c>
      <c r="J37" s="251">
        <v>50</v>
      </c>
      <c r="K37" s="250" t="s">
        <v>3818</v>
      </c>
      <c r="L37" s="250" t="s">
        <v>3819</v>
      </c>
      <c r="M37" s="250" t="s">
        <v>913</v>
      </c>
      <c r="N37" s="66"/>
    </row>
    <row r="38" spans="2:14" ht="33" customHeight="1">
      <c r="B38" s="77"/>
      <c r="C38" s="75" t="s">
        <v>914</v>
      </c>
      <c r="D38" s="76" t="s">
        <v>915</v>
      </c>
      <c r="E38" s="76" t="s">
        <v>916</v>
      </c>
      <c r="F38" s="250" t="s">
        <v>835</v>
      </c>
      <c r="G38" s="251">
        <v>1</v>
      </c>
      <c r="H38" s="251">
        <v>1</v>
      </c>
      <c r="I38" s="251">
        <v>2</v>
      </c>
      <c r="J38" s="251">
        <v>2</v>
      </c>
      <c r="K38" s="250" t="s">
        <v>3820</v>
      </c>
      <c r="L38" s="250" t="s">
        <v>3821</v>
      </c>
      <c r="M38" s="250" t="s">
        <v>839</v>
      </c>
      <c r="N38" s="66"/>
    </row>
    <row r="39" spans="2:14" ht="38.25">
      <c r="B39" s="65"/>
      <c r="C39" s="75" t="s">
        <v>917</v>
      </c>
      <c r="D39" s="76" t="s">
        <v>918</v>
      </c>
      <c r="E39" s="76" t="s">
        <v>919</v>
      </c>
      <c r="F39" s="250" t="s">
        <v>835</v>
      </c>
      <c r="G39" s="251">
        <v>0</v>
      </c>
      <c r="H39" s="251">
        <v>0</v>
      </c>
      <c r="I39" s="251">
        <v>1</v>
      </c>
      <c r="J39" s="251">
        <v>1</v>
      </c>
      <c r="K39" s="250" t="s">
        <v>3822</v>
      </c>
      <c r="L39" s="250" t="s">
        <v>3823</v>
      </c>
      <c r="M39" s="250" t="s">
        <v>841</v>
      </c>
      <c r="N39" s="66"/>
    </row>
    <row r="40" spans="2:14" ht="38.25">
      <c r="B40" s="77"/>
      <c r="C40" s="75" t="s">
        <v>920</v>
      </c>
      <c r="D40" s="76" t="s">
        <v>921</v>
      </c>
      <c r="E40" s="76" t="s">
        <v>922</v>
      </c>
      <c r="F40" s="250" t="s">
        <v>835</v>
      </c>
      <c r="G40" s="251">
        <v>10</v>
      </c>
      <c r="H40" s="251">
        <v>12</v>
      </c>
      <c r="I40" s="251">
        <v>12.5</v>
      </c>
      <c r="J40" s="251">
        <v>13</v>
      </c>
      <c r="K40" s="250" t="s">
        <v>3824</v>
      </c>
      <c r="L40" s="250" t="s">
        <v>3825</v>
      </c>
      <c r="M40" s="250" t="s">
        <v>3826</v>
      </c>
      <c r="N40" s="66"/>
    </row>
    <row r="41" spans="2:14" ht="37.5" customHeight="1">
      <c r="B41" s="77"/>
      <c r="C41" s="75" t="s">
        <v>923</v>
      </c>
      <c r="D41" s="76" t="s">
        <v>924</v>
      </c>
      <c r="E41" s="76" t="s">
        <v>925</v>
      </c>
      <c r="F41" s="250" t="s">
        <v>835</v>
      </c>
      <c r="G41" s="251">
        <v>10</v>
      </c>
      <c r="H41" s="251">
        <v>15</v>
      </c>
      <c r="I41" s="251">
        <v>20</v>
      </c>
      <c r="J41" s="251">
        <v>20</v>
      </c>
      <c r="K41" s="250" t="s">
        <v>3827</v>
      </c>
      <c r="L41" s="250" t="s">
        <v>3828</v>
      </c>
      <c r="M41" s="250" t="s">
        <v>852</v>
      </c>
      <c r="N41" s="66"/>
    </row>
    <row r="42" spans="2:14" ht="33.75" customHeight="1">
      <c r="B42" s="77"/>
      <c r="C42" s="75" t="s">
        <v>926</v>
      </c>
      <c r="D42" s="76" t="s">
        <v>927</v>
      </c>
      <c r="E42" s="76" t="s">
        <v>928</v>
      </c>
      <c r="F42" s="250" t="s">
        <v>835</v>
      </c>
      <c r="G42" s="251">
        <v>3</v>
      </c>
      <c r="H42" s="251">
        <v>27</v>
      </c>
      <c r="I42" s="251">
        <v>28</v>
      </c>
      <c r="J42" s="251">
        <v>30</v>
      </c>
      <c r="K42" s="250" t="s">
        <v>3829</v>
      </c>
      <c r="L42" s="250" t="s">
        <v>3830</v>
      </c>
      <c r="M42" s="250" t="s">
        <v>852</v>
      </c>
      <c r="N42" s="66"/>
    </row>
    <row r="43" spans="2:14" ht="44.25" customHeight="1">
      <c r="B43" s="77"/>
      <c r="C43" s="80" t="s">
        <v>1044</v>
      </c>
      <c r="D43" s="81" t="s">
        <v>929</v>
      </c>
      <c r="E43" s="81" t="s">
        <v>930</v>
      </c>
      <c r="F43" s="249" t="s">
        <v>931</v>
      </c>
      <c r="G43" s="252">
        <v>75.47</v>
      </c>
      <c r="H43" s="252">
        <v>76</v>
      </c>
      <c r="I43" s="252">
        <v>76</v>
      </c>
      <c r="J43" s="252">
        <v>76</v>
      </c>
      <c r="K43" s="249" t="s">
        <v>931</v>
      </c>
      <c r="L43" s="249" t="s">
        <v>931</v>
      </c>
      <c r="M43" s="249" t="s">
        <v>932</v>
      </c>
      <c r="N43" s="66"/>
    </row>
    <row r="44" spans="2:14" ht="27.75" customHeight="1">
      <c r="B44" s="77"/>
      <c r="C44" s="75" t="s">
        <v>933</v>
      </c>
      <c r="D44" s="76" t="s">
        <v>934</v>
      </c>
      <c r="E44" s="76" t="s">
        <v>3013</v>
      </c>
      <c r="F44" s="250" t="s">
        <v>935</v>
      </c>
      <c r="G44" s="251">
        <v>207.2</v>
      </c>
      <c r="H44" s="251">
        <v>232.7</v>
      </c>
      <c r="I44" s="251">
        <v>232.7</v>
      </c>
      <c r="J44" s="251">
        <v>232.7</v>
      </c>
      <c r="K44" s="250" t="s">
        <v>935</v>
      </c>
      <c r="L44" s="250" t="s">
        <v>4174</v>
      </c>
      <c r="M44" s="250" t="s">
        <v>936</v>
      </c>
      <c r="N44" s="66"/>
    </row>
    <row r="45" spans="2:14" ht="38.25">
      <c r="B45" s="77"/>
      <c r="C45" s="2275" t="s">
        <v>937</v>
      </c>
      <c r="D45" s="2270" t="s">
        <v>938</v>
      </c>
      <c r="E45" s="76" t="s">
        <v>4202</v>
      </c>
      <c r="F45" s="250" t="s">
        <v>940</v>
      </c>
      <c r="G45" s="251">
        <v>50</v>
      </c>
      <c r="H45" s="251">
        <v>49.6</v>
      </c>
      <c r="I45" s="251">
        <v>49.6</v>
      </c>
      <c r="J45" s="251">
        <v>49.6</v>
      </c>
      <c r="K45" s="250" t="s">
        <v>940</v>
      </c>
      <c r="L45" s="250" t="s">
        <v>3726</v>
      </c>
      <c r="M45" s="250" t="s">
        <v>4203</v>
      </c>
      <c r="N45" s="66"/>
    </row>
    <row r="46" spans="2:14" ht="38.25">
      <c r="B46" s="65"/>
      <c r="C46" s="2277"/>
      <c r="D46" s="2271"/>
      <c r="E46" s="76" t="s">
        <v>939</v>
      </c>
      <c r="F46" s="250" t="s">
        <v>941</v>
      </c>
      <c r="G46" s="251">
        <v>12</v>
      </c>
      <c r="H46" s="251">
        <v>34.4</v>
      </c>
      <c r="I46" s="251">
        <v>34.4</v>
      </c>
      <c r="J46" s="251">
        <v>34.4</v>
      </c>
      <c r="K46" s="250" t="s">
        <v>941</v>
      </c>
      <c r="L46" s="250" t="s">
        <v>3727</v>
      </c>
      <c r="M46" s="250" t="s">
        <v>4204</v>
      </c>
      <c r="N46" s="66"/>
    </row>
    <row r="47" spans="2:14" ht="39.75" customHeight="1">
      <c r="B47" s="77"/>
      <c r="C47" s="80" t="s">
        <v>1045</v>
      </c>
      <c r="D47" s="81" t="s">
        <v>947</v>
      </c>
      <c r="E47" s="81" t="s">
        <v>943</v>
      </c>
      <c r="F47" s="249" t="s">
        <v>944</v>
      </c>
      <c r="G47" s="252">
        <v>8</v>
      </c>
      <c r="H47" s="252">
        <v>9</v>
      </c>
      <c r="I47" s="252">
        <v>9</v>
      </c>
      <c r="J47" s="252">
        <v>9</v>
      </c>
      <c r="K47" s="249" t="s">
        <v>944</v>
      </c>
      <c r="L47" s="249" t="s">
        <v>3834</v>
      </c>
      <c r="M47" s="249" t="s">
        <v>945</v>
      </c>
      <c r="N47" s="66"/>
    </row>
    <row r="48" spans="2:14" ht="115.15" customHeight="1">
      <c r="B48" s="77"/>
      <c r="C48" s="75" t="s">
        <v>946</v>
      </c>
      <c r="D48" s="76" t="s">
        <v>947</v>
      </c>
      <c r="E48" s="76" t="s">
        <v>4205</v>
      </c>
      <c r="F48" s="250" t="s">
        <v>3835</v>
      </c>
      <c r="G48" s="251">
        <v>25</v>
      </c>
      <c r="H48" s="703">
        <v>26</v>
      </c>
      <c r="I48" s="703">
        <v>27</v>
      </c>
      <c r="J48" s="703">
        <v>27</v>
      </c>
      <c r="K48" s="702" t="s">
        <v>948</v>
      </c>
      <c r="L48" s="704" t="s">
        <v>4206</v>
      </c>
      <c r="M48" s="250" t="s">
        <v>3836</v>
      </c>
      <c r="N48" s="66"/>
    </row>
    <row r="49" spans="2:14" ht="33" customHeight="1">
      <c r="B49" s="77"/>
      <c r="C49" s="80" t="s">
        <v>1046</v>
      </c>
      <c r="D49" s="81" t="s">
        <v>949</v>
      </c>
      <c r="E49" s="81" t="s">
        <v>950</v>
      </c>
      <c r="F49" s="249" t="s">
        <v>951</v>
      </c>
      <c r="G49" s="252">
        <v>12</v>
      </c>
      <c r="H49" s="252">
        <v>12.68</v>
      </c>
      <c r="I49" s="252">
        <v>12.68</v>
      </c>
      <c r="J49" s="252">
        <v>12.68</v>
      </c>
      <c r="K49" s="249" t="s">
        <v>951</v>
      </c>
      <c r="L49" s="249" t="s">
        <v>3610</v>
      </c>
      <c r="M49" s="249" t="s">
        <v>952</v>
      </c>
      <c r="N49" s="66"/>
    </row>
    <row r="50" spans="2:14" ht="37.5" customHeight="1">
      <c r="B50" s="77"/>
      <c r="C50" s="75" t="s">
        <v>953</v>
      </c>
      <c r="D50" s="76" t="s">
        <v>954</v>
      </c>
      <c r="E50" s="76" t="s">
        <v>955</v>
      </c>
      <c r="F50" s="250" t="s">
        <v>835</v>
      </c>
      <c r="G50" s="251">
        <v>0</v>
      </c>
      <c r="H50" s="703">
        <v>2</v>
      </c>
      <c r="I50" s="703">
        <v>1</v>
      </c>
      <c r="J50" s="703">
        <v>1</v>
      </c>
      <c r="K50" s="704" t="s">
        <v>835</v>
      </c>
      <c r="L50" s="704" t="s">
        <v>3607</v>
      </c>
      <c r="M50" s="704" t="s">
        <v>854</v>
      </c>
      <c r="N50" s="66"/>
    </row>
    <row r="51" spans="2:14" ht="29.25" customHeight="1">
      <c r="B51" s="77"/>
      <c r="C51" s="75" t="s">
        <v>956</v>
      </c>
      <c r="D51" s="76" t="s">
        <v>957</v>
      </c>
      <c r="E51" s="76" t="s">
        <v>958</v>
      </c>
      <c r="F51" s="250" t="s">
        <v>959</v>
      </c>
      <c r="G51" s="251">
        <v>2</v>
      </c>
      <c r="H51" s="251">
        <v>6</v>
      </c>
      <c r="I51" s="251">
        <v>8</v>
      </c>
      <c r="J51" s="251">
        <v>10</v>
      </c>
      <c r="K51" s="250" t="s">
        <v>959</v>
      </c>
      <c r="L51" s="250" t="s">
        <v>3608</v>
      </c>
      <c r="M51" s="250" t="s">
        <v>960</v>
      </c>
      <c r="N51" s="66"/>
    </row>
    <row r="52" spans="2:14" ht="91.5" customHeight="1">
      <c r="B52" s="77"/>
      <c r="C52" s="80" t="s">
        <v>1071</v>
      </c>
      <c r="D52" s="81" t="s">
        <v>962</v>
      </c>
      <c r="E52" s="81" t="s">
        <v>928</v>
      </c>
      <c r="F52" s="249" t="s">
        <v>912</v>
      </c>
      <c r="G52" s="252">
        <v>10</v>
      </c>
      <c r="H52" s="252">
        <v>30</v>
      </c>
      <c r="I52" s="252">
        <v>30</v>
      </c>
      <c r="J52" s="252">
        <v>30</v>
      </c>
      <c r="K52" s="249" t="s">
        <v>912</v>
      </c>
      <c r="L52" s="249" t="s">
        <v>3724</v>
      </c>
      <c r="M52" s="249" t="s">
        <v>852</v>
      </c>
      <c r="N52" s="66"/>
    </row>
    <row r="53" spans="2:14" ht="25.5">
      <c r="B53" s="77"/>
      <c r="C53" s="75" t="s">
        <v>963</v>
      </c>
      <c r="D53" s="76" t="s">
        <v>964</v>
      </c>
      <c r="E53" s="76" t="s">
        <v>965</v>
      </c>
      <c r="F53" s="250" t="s">
        <v>961</v>
      </c>
      <c r="G53" s="251">
        <v>85</v>
      </c>
      <c r="H53" s="251">
        <v>90</v>
      </c>
      <c r="I53" s="251">
        <v>90</v>
      </c>
      <c r="J53" s="251">
        <v>95</v>
      </c>
      <c r="K53" s="250" t="s">
        <v>961</v>
      </c>
      <c r="L53" s="250" t="s">
        <v>3609</v>
      </c>
      <c r="M53" s="250" t="s">
        <v>832</v>
      </c>
      <c r="N53" s="66"/>
    </row>
    <row r="54" spans="2:14" ht="38.25">
      <c r="B54" s="77"/>
      <c r="C54" s="75" t="s">
        <v>966</v>
      </c>
      <c r="D54" s="76" t="s">
        <v>967</v>
      </c>
      <c r="E54" s="76" t="s">
        <v>968</v>
      </c>
      <c r="F54" s="250" t="s">
        <v>840</v>
      </c>
      <c r="G54" s="251">
        <v>0</v>
      </c>
      <c r="H54" s="251">
        <v>0.1</v>
      </c>
      <c r="I54" s="251">
        <v>0.3</v>
      </c>
      <c r="J54" s="251">
        <v>0.3</v>
      </c>
      <c r="K54" s="250" t="s">
        <v>840</v>
      </c>
      <c r="L54" s="250" t="s">
        <v>4112</v>
      </c>
      <c r="M54" s="250" t="s">
        <v>841</v>
      </c>
      <c r="N54" s="66"/>
    </row>
    <row r="55" spans="2:14" ht="38.25">
      <c r="B55" s="77"/>
      <c r="C55" s="75" t="s">
        <v>969</v>
      </c>
      <c r="D55" s="76" t="s">
        <v>970</v>
      </c>
      <c r="E55" s="76" t="s">
        <v>1047</v>
      </c>
      <c r="F55" s="250" t="s">
        <v>835</v>
      </c>
      <c r="G55" s="251">
        <v>2</v>
      </c>
      <c r="H55" s="251">
        <v>900</v>
      </c>
      <c r="I55" s="251">
        <v>900</v>
      </c>
      <c r="J55" s="251">
        <v>900</v>
      </c>
      <c r="K55" s="250" t="s">
        <v>835</v>
      </c>
      <c r="L55" s="250" t="s">
        <v>3728</v>
      </c>
      <c r="M55" s="250" t="s">
        <v>832</v>
      </c>
      <c r="N55" s="66"/>
    </row>
    <row r="56" spans="2:14" ht="52.5" customHeight="1">
      <c r="B56" s="77"/>
      <c r="C56" s="80" t="s">
        <v>1048</v>
      </c>
      <c r="D56" s="81" t="s">
        <v>971</v>
      </c>
      <c r="E56" s="81" t="s">
        <v>3014</v>
      </c>
      <c r="F56" s="249" t="s">
        <v>835</v>
      </c>
      <c r="G56" s="252">
        <v>60</v>
      </c>
      <c r="H56" s="252">
        <v>30</v>
      </c>
      <c r="I56" s="252">
        <v>30</v>
      </c>
      <c r="J56" s="252">
        <v>30</v>
      </c>
      <c r="K56" s="249" t="s">
        <v>835</v>
      </c>
      <c r="L56" s="249" t="s">
        <v>3724</v>
      </c>
      <c r="M56" s="249" t="s">
        <v>972</v>
      </c>
      <c r="N56" s="66"/>
    </row>
    <row r="57" spans="2:14" ht="25.5">
      <c r="B57" s="77"/>
      <c r="C57" s="75" t="s">
        <v>973</v>
      </c>
      <c r="D57" s="76" t="s">
        <v>974</v>
      </c>
      <c r="E57" s="76" t="s">
        <v>975</v>
      </c>
      <c r="F57" s="250" t="s">
        <v>976</v>
      </c>
      <c r="G57" s="251">
        <v>30</v>
      </c>
      <c r="H57" s="703">
        <v>30</v>
      </c>
      <c r="I57" s="703">
        <v>30</v>
      </c>
      <c r="J57" s="703">
        <v>30</v>
      </c>
      <c r="K57" s="704" t="s">
        <v>976</v>
      </c>
      <c r="L57" s="704" t="s">
        <v>3724</v>
      </c>
      <c r="M57" s="250" t="s">
        <v>977</v>
      </c>
      <c r="N57" s="66"/>
    </row>
    <row r="58" spans="2:14" ht="33.75" customHeight="1">
      <c r="B58" s="77"/>
      <c r="C58" s="75" t="s">
        <v>978</v>
      </c>
      <c r="D58" s="76" t="s">
        <v>979</v>
      </c>
      <c r="E58" s="76" t="s">
        <v>980</v>
      </c>
      <c r="F58" s="250" t="s">
        <v>835</v>
      </c>
      <c r="G58" s="251">
        <v>0</v>
      </c>
      <c r="H58" s="251">
        <v>0</v>
      </c>
      <c r="I58" s="251">
        <v>0</v>
      </c>
      <c r="J58" s="251">
        <v>0</v>
      </c>
      <c r="K58" s="250" t="s">
        <v>835</v>
      </c>
      <c r="L58" s="250" t="s">
        <v>3718</v>
      </c>
      <c r="M58" s="250" t="s">
        <v>981</v>
      </c>
      <c r="N58" s="66"/>
    </row>
    <row r="59" spans="2:14" ht="51" customHeight="1">
      <c r="B59" s="77"/>
      <c r="C59" s="2275" t="s">
        <v>982</v>
      </c>
      <c r="D59" s="2270" t="s">
        <v>983</v>
      </c>
      <c r="E59" s="2270" t="s">
        <v>984</v>
      </c>
      <c r="F59" s="2287" t="s">
        <v>985</v>
      </c>
      <c r="G59" s="2268">
        <v>3486</v>
      </c>
      <c r="H59" s="2268">
        <v>4997</v>
      </c>
      <c r="I59" s="2268">
        <v>5000</v>
      </c>
      <c r="J59" s="2268">
        <v>5500</v>
      </c>
      <c r="K59" s="2287" t="s">
        <v>985</v>
      </c>
      <c r="L59" s="2287" t="s">
        <v>3840</v>
      </c>
      <c r="M59" s="2288" t="s">
        <v>3015</v>
      </c>
      <c r="N59" s="66"/>
    </row>
    <row r="60" spans="2:14">
      <c r="B60" s="65"/>
      <c r="C60" s="2276"/>
      <c r="D60" s="2278"/>
      <c r="E60" s="2278"/>
      <c r="F60" s="2287"/>
      <c r="G60" s="2269"/>
      <c r="H60" s="2269"/>
      <c r="I60" s="2269"/>
      <c r="J60" s="2269"/>
      <c r="K60" s="2287"/>
      <c r="L60" s="2287"/>
      <c r="M60" s="2289"/>
      <c r="N60" s="66"/>
    </row>
    <row r="61" spans="2:14" ht="37.5" customHeight="1">
      <c r="B61" s="65"/>
      <c r="C61" s="2276"/>
      <c r="D61" s="2278"/>
      <c r="E61" s="2278"/>
      <c r="F61" s="250" t="s">
        <v>3016</v>
      </c>
      <c r="G61" s="251">
        <v>469</v>
      </c>
      <c r="H61" s="251">
        <v>450</v>
      </c>
      <c r="I61" s="251">
        <v>460</v>
      </c>
      <c r="J61" s="251">
        <v>470</v>
      </c>
      <c r="K61" s="250" t="s">
        <v>3016</v>
      </c>
      <c r="L61" s="250" t="s">
        <v>3841</v>
      </c>
      <c r="M61" s="250" t="s">
        <v>3017</v>
      </c>
      <c r="N61" s="66"/>
    </row>
    <row r="62" spans="2:14" ht="60" customHeight="1">
      <c r="B62" s="65"/>
      <c r="C62" s="2276"/>
      <c r="D62" s="2278"/>
      <c r="E62" s="2278"/>
      <c r="F62" s="2288" t="s">
        <v>1068</v>
      </c>
      <c r="G62" s="2268" t="s">
        <v>2908</v>
      </c>
      <c r="H62" s="2268" t="s">
        <v>3842</v>
      </c>
      <c r="I62" s="2268" t="s">
        <v>3843</v>
      </c>
      <c r="J62" s="2268" t="s">
        <v>3843</v>
      </c>
      <c r="K62" s="2288" t="s">
        <v>1068</v>
      </c>
      <c r="L62" s="2288" t="s">
        <v>3844</v>
      </c>
      <c r="M62" s="2288" t="s">
        <v>1069</v>
      </c>
      <c r="N62" s="66"/>
    </row>
    <row r="63" spans="2:14">
      <c r="B63" s="65"/>
      <c r="C63" s="2277"/>
      <c r="D63" s="2271"/>
      <c r="E63" s="2271"/>
      <c r="F63" s="2289"/>
      <c r="G63" s="2269"/>
      <c r="H63" s="2269"/>
      <c r="I63" s="2269"/>
      <c r="J63" s="2269"/>
      <c r="K63" s="2289"/>
      <c r="L63" s="2289"/>
      <c r="M63" s="2289"/>
      <c r="N63" s="66"/>
    </row>
    <row r="64" spans="2:14" ht="38.25">
      <c r="B64" s="65"/>
      <c r="C64" s="80" t="s">
        <v>1049</v>
      </c>
      <c r="D64" s="81" t="s">
        <v>2533</v>
      </c>
      <c r="E64" s="81" t="s">
        <v>1050</v>
      </c>
      <c r="F64" s="252" t="s">
        <v>986</v>
      </c>
      <c r="G64" s="252">
        <v>135</v>
      </c>
      <c r="H64" s="252">
        <v>96.51</v>
      </c>
      <c r="I64" s="252">
        <v>96.51</v>
      </c>
      <c r="J64" s="252">
        <v>96.51</v>
      </c>
      <c r="K64" s="252" t="s">
        <v>986</v>
      </c>
      <c r="L64" s="252" t="s">
        <v>3722</v>
      </c>
      <c r="M64" s="249" t="s">
        <v>3018</v>
      </c>
      <c r="N64" s="66"/>
    </row>
    <row r="65" spans="2:15" ht="37.5" customHeight="1">
      <c r="B65" s="77"/>
      <c r="C65" s="75" t="s">
        <v>987</v>
      </c>
      <c r="D65" s="76" t="s">
        <v>2454</v>
      </c>
      <c r="E65" s="76" t="s">
        <v>1051</v>
      </c>
      <c r="F65" s="250" t="s">
        <v>988</v>
      </c>
      <c r="G65" s="659" t="s">
        <v>2478</v>
      </c>
      <c r="H65" s="703">
        <v>8000</v>
      </c>
      <c r="I65" s="703" t="s">
        <v>2478</v>
      </c>
      <c r="J65" s="703" t="s">
        <v>2478</v>
      </c>
      <c r="K65" s="704" t="s">
        <v>988</v>
      </c>
      <c r="L65" s="704" t="s">
        <v>3721</v>
      </c>
      <c r="M65" s="704" t="s">
        <v>989</v>
      </c>
      <c r="N65" s="66"/>
    </row>
    <row r="66" spans="2:15" ht="33" customHeight="1">
      <c r="B66" s="77"/>
      <c r="C66" s="75" t="s">
        <v>990</v>
      </c>
      <c r="D66" s="76" t="s">
        <v>1052</v>
      </c>
      <c r="E66" s="75" t="s">
        <v>3019</v>
      </c>
      <c r="F66" s="250" t="s">
        <v>991</v>
      </c>
      <c r="G66" s="251">
        <v>2</v>
      </c>
      <c r="H66" s="703">
        <v>7</v>
      </c>
      <c r="I66" s="703">
        <v>7</v>
      </c>
      <c r="J66" s="703">
        <v>7</v>
      </c>
      <c r="K66" s="704" t="s">
        <v>991</v>
      </c>
      <c r="L66" s="704" t="s">
        <v>3611</v>
      </c>
      <c r="M66" s="704" t="s">
        <v>942</v>
      </c>
      <c r="N66" s="66"/>
    </row>
    <row r="67" spans="2:15" ht="49.5" customHeight="1">
      <c r="B67" s="65"/>
      <c r="C67" s="75" t="s">
        <v>992</v>
      </c>
      <c r="D67" s="76" t="s">
        <v>993</v>
      </c>
      <c r="E67" s="76" t="s">
        <v>3617</v>
      </c>
      <c r="F67" s="250" t="s">
        <v>835</v>
      </c>
      <c r="G67" s="251">
        <v>0.27</v>
      </c>
      <c r="H67" s="703">
        <v>0.5</v>
      </c>
      <c r="I67" s="703">
        <v>0.5</v>
      </c>
      <c r="J67" s="703">
        <v>0.5</v>
      </c>
      <c r="K67" s="704" t="s">
        <v>835</v>
      </c>
      <c r="L67" s="704" t="s">
        <v>3618</v>
      </c>
      <c r="M67" s="704" t="s">
        <v>994</v>
      </c>
      <c r="N67" s="66"/>
      <c r="O67" s="660"/>
    </row>
    <row r="68" spans="2:15" ht="61.5" customHeight="1">
      <c r="B68" s="65"/>
      <c r="C68" s="80" t="s">
        <v>1053</v>
      </c>
      <c r="D68" s="81" t="s">
        <v>995</v>
      </c>
      <c r="E68" s="81" t="s">
        <v>996</v>
      </c>
      <c r="F68" s="249" t="s">
        <v>3613</v>
      </c>
      <c r="G68" s="252">
        <v>19691</v>
      </c>
      <c r="H68" s="252">
        <v>19587</v>
      </c>
      <c r="I68" s="252">
        <v>19782</v>
      </c>
      <c r="J68" s="252">
        <v>19980</v>
      </c>
      <c r="K68" s="249" t="s">
        <v>997</v>
      </c>
      <c r="L68" s="249" t="s">
        <v>3612</v>
      </c>
      <c r="M68" s="249" t="s">
        <v>998</v>
      </c>
      <c r="N68" s="66"/>
    </row>
    <row r="69" spans="2:15" ht="25.5">
      <c r="B69" s="65"/>
      <c r="C69" s="75" t="s">
        <v>999</v>
      </c>
      <c r="D69" s="76" t="s">
        <v>1000</v>
      </c>
      <c r="E69" s="76" t="s">
        <v>1001</v>
      </c>
      <c r="F69" s="250" t="s">
        <v>835</v>
      </c>
      <c r="G69" s="251">
        <v>0</v>
      </c>
      <c r="H69" s="251">
        <v>0</v>
      </c>
      <c r="I69" s="251">
        <v>0</v>
      </c>
      <c r="J69" s="251">
        <v>5</v>
      </c>
      <c r="K69" s="700" t="s">
        <v>835</v>
      </c>
      <c r="L69" s="704" t="s">
        <v>4114</v>
      </c>
      <c r="M69" s="250" t="s">
        <v>845</v>
      </c>
      <c r="N69" s="66"/>
    </row>
    <row r="70" spans="2:15" ht="25.5">
      <c r="B70" s="65"/>
      <c r="C70" s="75" t="s">
        <v>1002</v>
      </c>
      <c r="D70" s="76" t="s">
        <v>1003</v>
      </c>
      <c r="E70" s="76" t="s">
        <v>1004</v>
      </c>
      <c r="F70" s="250" t="s">
        <v>1005</v>
      </c>
      <c r="G70" s="251">
        <v>0</v>
      </c>
      <c r="H70" s="251">
        <v>1</v>
      </c>
      <c r="I70" s="251">
        <v>1</v>
      </c>
      <c r="J70" s="251">
        <v>1</v>
      </c>
      <c r="K70" s="250" t="s">
        <v>1005</v>
      </c>
      <c r="L70" s="250" t="s">
        <v>4113</v>
      </c>
      <c r="M70" s="250" t="s">
        <v>841</v>
      </c>
      <c r="N70" s="66"/>
    </row>
    <row r="71" spans="2:15" ht="31.5" customHeight="1">
      <c r="B71" s="77"/>
      <c r="C71" s="75" t="s">
        <v>1006</v>
      </c>
      <c r="D71" s="76" t="s">
        <v>1007</v>
      </c>
      <c r="E71" s="76" t="s">
        <v>1008</v>
      </c>
      <c r="F71" s="250" t="s">
        <v>835</v>
      </c>
      <c r="G71" s="251">
        <v>0</v>
      </c>
      <c r="H71" s="251">
        <v>2</v>
      </c>
      <c r="I71" s="251">
        <v>2</v>
      </c>
      <c r="J71" s="251">
        <v>2</v>
      </c>
      <c r="K71" s="250" t="s">
        <v>835</v>
      </c>
      <c r="L71" s="250" t="s">
        <v>3607</v>
      </c>
      <c r="M71" s="250" t="s">
        <v>854</v>
      </c>
      <c r="N71" s="66"/>
    </row>
    <row r="72" spans="2:15" ht="43.5" customHeight="1">
      <c r="B72" s="65"/>
      <c r="C72" s="80" t="s">
        <v>1054</v>
      </c>
      <c r="D72" s="81" t="s">
        <v>1009</v>
      </c>
      <c r="E72" s="81" t="s">
        <v>1010</v>
      </c>
      <c r="F72" s="249" t="s">
        <v>1011</v>
      </c>
      <c r="G72" s="252">
        <v>560</v>
      </c>
      <c r="H72" s="252">
        <v>542.46</v>
      </c>
      <c r="I72" s="252">
        <v>542.46</v>
      </c>
      <c r="J72" s="252">
        <v>542.46</v>
      </c>
      <c r="K72" s="249" t="s">
        <v>1011</v>
      </c>
      <c r="L72" s="249" t="s">
        <v>3614</v>
      </c>
      <c r="M72" s="249" t="s">
        <v>1012</v>
      </c>
      <c r="N72" s="66"/>
    </row>
    <row r="73" spans="2:15" ht="33" customHeight="1">
      <c r="B73" s="65"/>
      <c r="C73" s="75" t="s">
        <v>1013</v>
      </c>
      <c r="D73" s="76" t="s">
        <v>1014</v>
      </c>
      <c r="E73" s="76" t="s">
        <v>2498</v>
      </c>
      <c r="F73" s="250" t="s">
        <v>1015</v>
      </c>
      <c r="G73" s="251">
        <v>21</v>
      </c>
      <c r="H73" s="251">
        <v>21</v>
      </c>
      <c r="I73" s="251">
        <v>21</v>
      </c>
      <c r="J73" s="251">
        <v>21</v>
      </c>
      <c r="K73" s="250" t="s">
        <v>1015</v>
      </c>
      <c r="L73" s="250" t="s">
        <v>4115</v>
      </c>
      <c r="M73" s="250" t="s">
        <v>1016</v>
      </c>
      <c r="N73" s="66"/>
    </row>
    <row r="74" spans="2:15" ht="38.25" customHeight="1">
      <c r="B74" s="65"/>
      <c r="C74" s="2275" t="s">
        <v>1017</v>
      </c>
      <c r="D74" s="2270" t="s">
        <v>1018</v>
      </c>
      <c r="E74" s="76" t="s">
        <v>1019</v>
      </c>
      <c r="F74" s="250" t="s">
        <v>1020</v>
      </c>
      <c r="G74" s="251">
        <v>80</v>
      </c>
      <c r="H74" s="251">
        <v>80</v>
      </c>
      <c r="I74" s="251">
        <v>84</v>
      </c>
      <c r="J74" s="251">
        <v>84</v>
      </c>
      <c r="K74" s="250" t="s">
        <v>1020</v>
      </c>
      <c r="L74" s="250" t="s">
        <v>3717</v>
      </c>
      <c r="M74" s="250" t="s">
        <v>879</v>
      </c>
      <c r="N74" s="66"/>
    </row>
    <row r="75" spans="2:15" ht="38.25">
      <c r="B75" s="65"/>
      <c r="C75" s="2276"/>
      <c r="D75" s="2278"/>
      <c r="E75" s="76" t="s">
        <v>1021</v>
      </c>
      <c r="F75" s="250" t="s">
        <v>835</v>
      </c>
      <c r="G75" s="251">
        <v>2</v>
      </c>
      <c r="H75" s="251">
        <v>2</v>
      </c>
      <c r="I75" s="251">
        <v>2</v>
      </c>
      <c r="J75" s="251">
        <v>2</v>
      </c>
      <c r="K75" s="250" t="s">
        <v>835</v>
      </c>
      <c r="L75" s="250" t="s">
        <v>3607</v>
      </c>
      <c r="M75" s="250" t="s">
        <v>853</v>
      </c>
      <c r="N75" s="66"/>
    </row>
    <row r="76" spans="2:15" ht="37.5" customHeight="1">
      <c r="B76" s="65"/>
      <c r="C76" s="2277"/>
      <c r="D76" s="2271"/>
      <c r="E76" s="76" t="s">
        <v>4207</v>
      </c>
      <c r="F76" s="250" t="s">
        <v>844</v>
      </c>
      <c r="G76" s="251">
        <v>2</v>
      </c>
      <c r="H76" s="251">
        <v>2</v>
      </c>
      <c r="I76" s="251">
        <v>3</v>
      </c>
      <c r="J76" s="251">
        <v>3</v>
      </c>
      <c r="K76" s="250" t="s">
        <v>844</v>
      </c>
      <c r="L76" s="250" t="s">
        <v>3607</v>
      </c>
      <c r="M76" s="250" t="s">
        <v>885</v>
      </c>
      <c r="N76" s="66"/>
    </row>
    <row r="77" spans="2:15" ht="51" customHeight="1">
      <c r="B77" s="65"/>
      <c r="C77" s="2275" t="s">
        <v>1023</v>
      </c>
      <c r="D77" s="2270" t="s">
        <v>1024</v>
      </c>
      <c r="E77" s="76" t="s">
        <v>1055</v>
      </c>
      <c r="F77" s="250" t="s">
        <v>1025</v>
      </c>
      <c r="G77" s="251">
        <v>0.80700000000000005</v>
      </c>
      <c r="H77" s="251">
        <v>0</v>
      </c>
      <c r="I77" s="251">
        <v>0</v>
      </c>
      <c r="J77" s="701">
        <v>0.87</v>
      </c>
      <c r="K77" s="250" t="s">
        <v>1025</v>
      </c>
      <c r="L77" s="250" t="s">
        <v>3718</v>
      </c>
      <c r="M77" s="250" t="s">
        <v>1026</v>
      </c>
      <c r="N77" s="66"/>
    </row>
    <row r="78" spans="2:15" ht="25.5">
      <c r="B78" s="65"/>
      <c r="C78" s="2276"/>
      <c r="D78" s="2278"/>
      <c r="E78" s="76" t="s">
        <v>1027</v>
      </c>
      <c r="F78" s="250" t="s">
        <v>1028</v>
      </c>
      <c r="G78" s="251">
        <v>1.2949999999999999</v>
      </c>
      <c r="H78" s="251">
        <v>0</v>
      </c>
      <c r="I78" s="251">
        <v>1.3220000000000001</v>
      </c>
      <c r="J78" s="251">
        <v>0.873</v>
      </c>
      <c r="K78" s="250" t="s">
        <v>1028</v>
      </c>
      <c r="L78" s="250" t="s">
        <v>3719</v>
      </c>
      <c r="M78" s="250" t="s">
        <v>1029</v>
      </c>
      <c r="N78" s="66"/>
    </row>
    <row r="79" spans="2:15" ht="26.25" thickBot="1">
      <c r="B79" s="65"/>
      <c r="C79" s="2277"/>
      <c r="D79" s="2271"/>
      <c r="E79" s="76" t="s">
        <v>1030</v>
      </c>
      <c r="F79" s="250" t="s">
        <v>835</v>
      </c>
      <c r="G79" s="251">
        <v>1</v>
      </c>
      <c r="H79" s="665">
        <v>0.316</v>
      </c>
      <c r="I79" s="665">
        <v>0</v>
      </c>
      <c r="J79" s="665">
        <v>0</v>
      </c>
      <c r="K79" s="250" t="s">
        <v>835</v>
      </c>
      <c r="L79" s="250" t="s">
        <v>3720</v>
      </c>
      <c r="M79" s="250" t="s">
        <v>1031</v>
      </c>
      <c r="N79" s="66"/>
    </row>
    <row r="80" spans="2:15" ht="107.45" customHeight="1">
      <c r="B80" s="65"/>
      <c r="C80" s="2268" t="s">
        <v>1033</v>
      </c>
      <c r="D80" s="2270" t="s">
        <v>1056</v>
      </c>
      <c r="E80" s="76" t="s">
        <v>1034</v>
      </c>
      <c r="F80" s="250" t="s">
        <v>1035</v>
      </c>
      <c r="G80" s="686" t="s">
        <v>2524</v>
      </c>
      <c r="H80" s="688" t="s">
        <v>2525</v>
      </c>
      <c r="I80" s="688" t="s">
        <v>2526</v>
      </c>
      <c r="J80" s="688" t="s">
        <v>2526</v>
      </c>
      <c r="K80" s="705" t="s">
        <v>1035</v>
      </c>
      <c r="L80" s="704" t="s">
        <v>4177</v>
      </c>
      <c r="M80" s="250" t="s">
        <v>878</v>
      </c>
      <c r="N80" s="66"/>
    </row>
    <row r="81" spans="2:24" ht="102.6" customHeight="1" thickBot="1">
      <c r="B81" s="65"/>
      <c r="C81" s="2269"/>
      <c r="D81" s="2271"/>
      <c r="E81" s="76" t="s">
        <v>1036</v>
      </c>
      <c r="F81" s="250" t="s">
        <v>1037</v>
      </c>
      <c r="G81" s="687" t="s">
        <v>3020</v>
      </c>
      <c r="H81" s="688" t="s">
        <v>3021</v>
      </c>
      <c r="I81" s="688" t="s">
        <v>3022</v>
      </c>
      <c r="J81" s="688" t="s">
        <v>3022</v>
      </c>
      <c r="K81" s="705" t="s">
        <v>1037</v>
      </c>
      <c r="L81" s="704" t="s">
        <v>4176</v>
      </c>
      <c r="M81" s="250" t="s">
        <v>1038</v>
      </c>
      <c r="N81" s="66"/>
    </row>
    <row r="82" spans="2:24" ht="42.75" customHeight="1">
      <c r="B82" s="65"/>
      <c r="C82" s="75" t="s">
        <v>1039</v>
      </c>
      <c r="D82" s="76" t="s">
        <v>1057</v>
      </c>
      <c r="E82" s="76" t="s">
        <v>1040</v>
      </c>
      <c r="F82" s="250" t="s">
        <v>959</v>
      </c>
      <c r="G82" s="251">
        <v>0</v>
      </c>
      <c r="H82" s="706">
        <v>5</v>
      </c>
      <c r="I82" s="706">
        <v>5</v>
      </c>
      <c r="J82" s="706">
        <v>5</v>
      </c>
      <c r="K82" s="704" t="s">
        <v>959</v>
      </c>
      <c r="L82" s="704" t="s">
        <v>4175</v>
      </c>
      <c r="M82" s="250" t="s">
        <v>1032</v>
      </c>
      <c r="N82" s="66"/>
      <c r="X82" s="78"/>
    </row>
    <row r="83" spans="2:24">
      <c r="B83" s="65"/>
      <c r="N83" s="66"/>
    </row>
    <row r="84" spans="2:24">
      <c r="B84" s="65"/>
      <c r="F84" s="2267" t="s">
        <v>4178</v>
      </c>
      <c r="G84" s="2267"/>
      <c r="H84" s="2267"/>
      <c r="I84" s="2267"/>
      <c r="J84" s="2267"/>
      <c r="K84" s="2267"/>
      <c r="L84" s="2267"/>
      <c r="M84" s="2267"/>
      <c r="N84" s="66"/>
    </row>
    <row r="85" spans="2:24">
      <c r="B85" s="65"/>
      <c r="N85" s="66"/>
    </row>
    <row r="86" spans="2:24">
      <c r="B86" s="65"/>
      <c r="N86" s="66"/>
    </row>
    <row r="87" spans="2:24" ht="13.5" thickBot="1">
      <c r="B87" s="67"/>
      <c r="C87" s="68"/>
      <c r="D87" s="68"/>
      <c r="E87" s="68"/>
      <c r="F87" s="253"/>
      <c r="G87" s="253"/>
      <c r="H87" s="253"/>
      <c r="I87" s="253"/>
      <c r="J87" s="253"/>
      <c r="K87" s="253"/>
      <c r="L87" s="253"/>
      <c r="M87" s="253"/>
      <c r="N87" s="69"/>
    </row>
  </sheetData>
  <sheetProtection algorithmName="SHA-512" hashValue="+qVNiHTGfaImoal49+FPp9BWHGVxEzfIFnQ47gkXl+RrXWVs9mXqivEZdSGd5I/SFT2keIROF+MnVp5MUhuJ4A==" saltValue="8/BtlWfoR7YYKoa0Ms06aA==" spinCount="100000" sheet="1" objects="1" scenarios="1"/>
  <mergeCells count="45">
    <mergeCell ref="E59:E63"/>
    <mergeCell ref="F62:F63"/>
    <mergeCell ref="G62:G63"/>
    <mergeCell ref="J62:J63"/>
    <mergeCell ref="L7:L8"/>
    <mergeCell ref="L59:L60"/>
    <mergeCell ref="L62:L63"/>
    <mergeCell ref="G7:J7"/>
    <mergeCell ref="H59:H60"/>
    <mergeCell ref="I59:I60"/>
    <mergeCell ref="K7:K8"/>
    <mergeCell ref="K59:K60"/>
    <mergeCell ref="K62:K63"/>
    <mergeCell ref="C6:D6"/>
    <mergeCell ref="B3:N3"/>
    <mergeCell ref="B4:N4"/>
    <mergeCell ref="G59:G60"/>
    <mergeCell ref="J59:J60"/>
    <mergeCell ref="M7:M8"/>
    <mergeCell ref="F59:F60"/>
    <mergeCell ref="C11:C12"/>
    <mergeCell ref="C14:C16"/>
    <mergeCell ref="D14:D16"/>
    <mergeCell ref="C23:C24"/>
    <mergeCell ref="D23:D24"/>
    <mergeCell ref="C59:C63"/>
    <mergeCell ref="D59:D63"/>
    <mergeCell ref="M62:M63"/>
    <mergeCell ref="M59:M60"/>
    <mergeCell ref="F84:M84"/>
    <mergeCell ref="C80:C81"/>
    <mergeCell ref="D80:D81"/>
    <mergeCell ref="D11:D12"/>
    <mergeCell ref="F7:F8"/>
    <mergeCell ref="C77:C79"/>
    <mergeCell ref="D77:D79"/>
    <mergeCell ref="C74:C76"/>
    <mergeCell ref="D74:D76"/>
    <mergeCell ref="D7:D8"/>
    <mergeCell ref="E7:E8"/>
    <mergeCell ref="C45:C46"/>
    <mergeCell ref="D45:D46"/>
    <mergeCell ref="H62:H63"/>
    <mergeCell ref="I62:I63"/>
    <mergeCell ref="C7:C8"/>
  </mergeCells>
  <pageMargins left="0.70866141732283472" right="0.70866141732283472" top="0.74803149606299213" bottom="0.74803149606299213" header="0.31496062992125984" footer="0.31496062992125984"/>
  <pageSetup paperSize="9" scale="55" fitToWidth="0" fitToHeight="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168B2-5925-441A-8406-A2EB2BC5EDEC}">
  <dimension ref="B1:AA19"/>
  <sheetViews>
    <sheetView zoomScale="86" zoomScaleNormal="86" workbookViewId="0">
      <selection activeCell="AF14" sqref="AF14"/>
    </sheetView>
  </sheetViews>
  <sheetFormatPr defaultRowHeight="12.75"/>
  <cols>
    <col min="7" max="7" width="7.28515625" customWidth="1"/>
    <col min="8" max="17" width="9.140625" hidden="1" customWidth="1"/>
    <col min="18" max="18" width="26.85546875" customWidth="1"/>
    <col min="19" max="19" width="19.85546875" customWidth="1"/>
    <col min="20" max="20" width="20.85546875" customWidth="1"/>
    <col min="21" max="21" width="19.85546875" customWidth="1"/>
    <col min="22" max="22" width="21.5703125" customWidth="1"/>
    <col min="23" max="23" width="19.5703125" customWidth="1"/>
    <col min="24" max="24" width="21.140625" customWidth="1"/>
  </cols>
  <sheetData>
    <row r="1" spans="2:25">
      <c r="T1" s="2210"/>
    </row>
    <row r="3" spans="2:25" ht="12.75" customHeight="1">
      <c r="E3" s="2262" t="s">
        <v>4208</v>
      </c>
      <c r="F3" s="2262"/>
      <c r="G3" s="2262"/>
      <c r="H3" s="2262"/>
      <c r="I3" s="2262"/>
      <c r="J3" s="2262"/>
      <c r="K3" s="2262"/>
      <c r="L3" s="2262"/>
      <c r="M3" s="2262"/>
      <c r="N3" s="2262"/>
      <c r="O3" s="2262"/>
      <c r="P3" s="2262"/>
      <c r="Q3" s="2262"/>
      <c r="R3" s="2262"/>
      <c r="S3" s="2262"/>
      <c r="T3" s="2262"/>
      <c r="U3" s="2262"/>
      <c r="V3" s="2262"/>
      <c r="W3" s="2262"/>
      <c r="X3" s="2262"/>
    </row>
    <row r="4" spans="2:25">
      <c r="E4" s="2262"/>
      <c r="F4" s="2262"/>
      <c r="G4" s="2262"/>
      <c r="H4" s="2262"/>
      <c r="I4" s="2262"/>
      <c r="J4" s="2262"/>
      <c r="K4" s="2262"/>
      <c r="L4" s="2262"/>
      <c r="M4" s="2262"/>
      <c r="N4" s="2262"/>
      <c r="O4" s="2262"/>
      <c r="P4" s="2262"/>
      <c r="Q4" s="2262"/>
      <c r="R4" s="2262"/>
      <c r="S4" s="2262"/>
      <c r="T4" s="2262"/>
      <c r="U4" s="2262"/>
      <c r="V4" s="2262"/>
      <c r="W4" s="2262"/>
      <c r="X4" s="2262"/>
    </row>
    <row r="5" spans="2:25">
      <c r="E5" s="2262"/>
      <c r="F5" s="2262"/>
      <c r="G5" s="2262"/>
      <c r="H5" s="2262"/>
      <c r="I5" s="2262"/>
      <c r="J5" s="2262"/>
      <c r="K5" s="2262"/>
      <c r="L5" s="2262"/>
      <c r="M5" s="2262"/>
      <c r="N5" s="2262"/>
      <c r="O5" s="2262"/>
      <c r="P5" s="2262"/>
      <c r="Q5" s="2262"/>
      <c r="R5" s="2262"/>
      <c r="S5" s="2262"/>
      <c r="T5" s="2262"/>
      <c r="U5" s="2262"/>
      <c r="V5" s="2262"/>
      <c r="W5" s="2262"/>
      <c r="X5" s="2262"/>
    </row>
    <row r="7" spans="2:25" ht="13.5" thickBot="1"/>
    <row r="8" spans="2:25">
      <c r="B8" s="63"/>
      <c r="C8" s="64"/>
      <c r="D8" s="64"/>
      <c r="E8" s="64"/>
      <c r="F8" s="64"/>
      <c r="G8" s="64"/>
      <c r="H8" s="64"/>
      <c r="I8" s="64"/>
      <c r="J8" s="64"/>
      <c r="K8" s="64"/>
      <c r="L8" s="64"/>
      <c r="M8" s="64"/>
      <c r="N8" s="64"/>
      <c r="O8" s="64"/>
      <c r="P8" s="64"/>
      <c r="Q8" s="64"/>
      <c r="R8" s="64"/>
      <c r="S8" s="64"/>
      <c r="T8" s="64"/>
      <c r="U8" s="64"/>
      <c r="V8" s="64"/>
      <c r="W8" s="64"/>
      <c r="X8" s="64"/>
      <c r="Y8" s="70"/>
    </row>
    <row r="9" spans="2:25">
      <c r="B9" s="65"/>
      <c r="C9" s="2293" t="s">
        <v>4209</v>
      </c>
      <c r="D9" s="2293"/>
      <c r="E9" s="2293"/>
      <c r="F9" s="2293"/>
      <c r="G9" s="2293"/>
      <c r="H9" s="2293"/>
      <c r="I9" s="2293"/>
      <c r="J9" s="2293"/>
      <c r="K9" s="2293"/>
      <c r="L9" s="2293"/>
      <c r="M9" s="2293"/>
      <c r="N9" s="2293"/>
      <c r="O9" s="2293"/>
      <c r="P9" s="2293"/>
      <c r="Q9" s="2293"/>
      <c r="R9" s="2293"/>
      <c r="S9" s="2293"/>
      <c r="T9" s="2293"/>
      <c r="Y9" s="66"/>
    </row>
    <row r="10" spans="2:25" ht="54.75" customHeight="1">
      <c r="B10" s="65"/>
      <c r="C10" s="2299" t="s">
        <v>2879</v>
      </c>
      <c r="D10" s="2300"/>
      <c r="E10" s="2300"/>
      <c r="F10" s="2300"/>
      <c r="G10" s="2301"/>
      <c r="H10" s="2212"/>
      <c r="I10" s="2212"/>
      <c r="J10" s="2212"/>
      <c r="K10" s="2212"/>
      <c r="L10" s="2212"/>
      <c r="M10" s="2212"/>
      <c r="N10" s="2212"/>
      <c r="O10" s="2212"/>
      <c r="P10" s="2212"/>
      <c r="Q10" s="2212"/>
      <c r="R10" s="2213" t="s">
        <v>4165</v>
      </c>
      <c r="S10" s="2213" t="s">
        <v>4168</v>
      </c>
      <c r="T10" s="2213" t="s">
        <v>4051</v>
      </c>
      <c r="U10" s="2213" t="s">
        <v>4169</v>
      </c>
      <c r="V10" s="2213" t="s">
        <v>4166</v>
      </c>
      <c r="W10" s="2213" t="s">
        <v>4170</v>
      </c>
      <c r="X10" s="2213" t="s">
        <v>4167</v>
      </c>
      <c r="Y10" s="66"/>
    </row>
    <row r="11" spans="2:25" ht="43.5" customHeight="1">
      <c r="B11" s="65"/>
      <c r="C11" s="2294" t="s">
        <v>2876</v>
      </c>
      <c r="D11" s="2295"/>
      <c r="E11" s="2295"/>
      <c r="F11" s="2295"/>
      <c r="G11" s="2295"/>
      <c r="H11" s="2295"/>
      <c r="I11" s="2295"/>
      <c r="J11" s="2295"/>
      <c r="K11" s="2295"/>
      <c r="L11" s="2295"/>
      <c r="M11" s="2295"/>
      <c r="N11" s="2295"/>
      <c r="O11" s="2295"/>
      <c r="P11" s="2295"/>
      <c r="Q11" s="2295"/>
      <c r="R11" s="104" t="s">
        <v>2010</v>
      </c>
      <c r="S11" s="2214">
        <f>T11/T15</f>
        <v>4.0179553808774006E-2</v>
      </c>
      <c r="T11" s="2215">
        <f>SUM('9 programa'!H199)</f>
        <v>2876.6927000000001</v>
      </c>
      <c r="U11" s="2214">
        <f>V11/V15</f>
        <v>7.9900973567691588E-2</v>
      </c>
      <c r="V11" s="2216">
        <f>SUM('9 programa'!I199)</f>
        <v>5654.4358400000001</v>
      </c>
      <c r="W11" s="2214">
        <f>X11/X15</f>
        <v>7.2804394210730913E-2</v>
      </c>
      <c r="X11" s="2216">
        <f>SUM('9 programa'!J199)</f>
        <v>4854.4130000000005</v>
      </c>
      <c r="Y11" s="66"/>
    </row>
    <row r="12" spans="2:25" ht="90" customHeight="1">
      <c r="B12" s="65"/>
      <c r="C12" s="2294" t="s">
        <v>2877</v>
      </c>
      <c r="D12" s="2295"/>
      <c r="E12" s="2295"/>
      <c r="F12" s="2295"/>
      <c r="G12" s="2295"/>
      <c r="H12" s="2295"/>
      <c r="I12" s="2295"/>
      <c r="J12" s="2295"/>
      <c r="K12" s="2295"/>
      <c r="L12" s="2295"/>
      <c r="M12" s="2295"/>
      <c r="N12" s="2295"/>
      <c r="O12" s="2295"/>
      <c r="P12" s="2295"/>
      <c r="Q12" s="2295"/>
      <c r="R12" s="92" t="s">
        <v>2874</v>
      </c>
      <c r="S12" s="2217">
        <f>T12/T15</f>
        <v>0.76290339898946957</v>
      </c>
      <c r="T12" s="688">
        <f>SUM('1 programa '!K208,'2 programa '!K351,'3 programa'!K79,'4 programa'!K124,'5 programa'!K85,'6 programa'!K285,'7 programa'!K166)</f>
        <v>54620.781732000003</v>
      </c>
      <c r="U12" s="2217">
        <f>V12/V15</f>
        <v>0.71739942342599783</v>
      </c>
      <c r="V12" s="688">
        <f>SUM('1 programa '!L208,'2 programa '!L351,'3 programa'!L79,'4 programa'!L124,'5 programa'!L85,'6 programa'!L285,'7 programa'!L166)</f>
        <v>50768.956000000006</v>
      </c>
      <c r="W12" s="2217">
        <f>X12/X15</f>
        <v>0.72542146115254591</v>
      </c>
      <c r="X12" s="688">
        <f>SUM('1 programa '!M208,'2 programa '!M351,'3 programa'!M79,'4 programa'!M124,'5 programa'!M85,'6 programa'!M285,'7 programa'!M166)</f>
        <v>48369.269598000006</v>
      </c>
      <c r="Y12" s="66"/>
    </row>
    <row r="13" spans="2:25" ht="46.5" customHeight="1">
      <c r="B13" s="65"/>
      <c r="C13" s="2296" t="s">
        <v>2878</v>
      </c>
      <c r="D13" s="2297"/>
      <c r="E13" s="2297"/>
      <c r="F13" s="2297"/>
      <c r="G13" s="2297"/>
      <c r="H13" s="2297"/>
      <c r="I13" s="2297"/>
      <c r="J13" s="2297"/>
      <c r="K13" s="2297"/>
      <c r="L13" s="2297"/>
      <c r="M13" s="2297"/>
      <c r="N13" s="2297"/>
      <c r="O13" s="2297"/>
      <c r="P13" s="2297"/>
      <c r="Q13" s="2298"/>
      <c r="R13" s="92" t="s">
        <v>2875</v>
      </c>
      <c r="S13" s="2217">
        <f>T13/T15</f>
        <v>0.19691704720175637</v>
      </c>
      <c r="T13" s="2218">
        <f>SUM('8 programa'!K164,'10 programa'!K265)</f>
        <v>14098.460000000001</v>
      </c>
      <c r="U13" s="2217">
        <f>V13/V15</f>
        <v>0.20269960300631068</v>
      </c>
      <c r="V13" s="688">
        <f>SUM('8 programa'!L164,'10 programa'!L265)</f>
        <v>14344.654999999999</v>
      </c>
      <c r="W13" s="2217">
        <f>X13/X15</f>
        <v>0.20177414463672316</v>
      </c>
      <c r="X13" s="688">
        <f>SUM('8 programa'!M164,'10 programa'!M265)</f>
        <v>13453.789999999999</v>
      </c>
      <c r="Y13" s="66"/>
    </row>
    <row r="14" spans="2:25">
      <c r="B14" s="65"/>
      <c r="Y14" s="66"/>
    </row>
    <row r="15" spans="2:25" hidden="1">
      <c r="B15" s="65"/>
      <c r="T15" s="150">
        <f>SUM(T11,T12,T13)</f>
        <v>71595.934432000009</v>
      </c>
      <c r="V15" s="150">
        <f t="shared" ref="V15:X15" si="0">SUM(V11,V12,V13)</f>
        <v>70768.046839999995</v>
      </c>
      <c r="W15" s="150"/>
      <c r="X15" s="150">
        <f t="shared" si="0"/>
        <v>66677.472598000008</v>
      </c>
      <c r="Y15" s="66"/>
    </row>
    <row r="16" spans="2:25" ht="13.5" thickBot="1">
      <c r="B16" s="67"/>
      <c r="C16" s="68"/>
      <c r="D16" s="68"/>
      <c r="E16" s="68"/>
      <c r="F16" s="68"/>
      <c r="G16" s="68"/>
      <c r="H16" s="68"/>
      <c r="I16" s="68"/>
      <c r="J16" s="68"/>
      <c r="K16" s="68"/>
      <c r="L16" s="68"/>
      <c r="M16" s="68"/>
      <c r="N16" s="68"/>
      <c r="O16" s="68"/>
      <c r="P16" s="68"/>
      <c r="Q16" s="68"/>
      <c r="R16" s="68"/>
      <c r="S16" s="2211"/>
      <c r="T16" s="68"/>
      <c r="U16" s="2211"/>
      <c r="V16" s="68"/>
      <c r="W16" s="68"/>
      <c r="X16" s="68"/>
      <c r="Y16" s="69"/>
    </row>
    <row r="17" spans="20:27">
      <c r="Z17" s="2210"/>
    </row>
    <row r="18" spans="20:27">
      <c r="AA18" s="2210"/>
    </row>
    <row r="19" spans="20:27">
      <c r="T19" s="2210"/>
    </row>
  </sheetData>
  <sheetProtection algorithmName="SHA-512" hashValue="f/itLEoEVsbOkAH5Sm/PUSfiTEqAeuJuERwAQgKMwZwzIctqpieIHZx2EjSllxJu5jwNdQI5bl4rQymncn6WFw==" saltValue="QDXm5mUz08z6tYvLdguUwA==" spinCount="100000" sheet="1" objects="1" scenarios="1"/>
  <mergeCells count="6">
    <mergeCell ref="E3:X5"/>
    <mergeCell ref="C9:T9"/>
    <mergeCell ref="C12:Q12"/>
    <mergeCell ref="C11:Q11"/>
    <mergeCell ref="C13:Q13"/>
    <mergeCell ref="C10:G10"/>
  </mergeCells>
  <pageMargins left="0.7" right="0.7" top="0.75" bottom="0.75" header="0.3" footer="0.3"/>
  <pageSetup paperSize="9" scale="5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2FD3D-7FBD-44AB-B0DC-E15D5EF00E31}">
  <sheetPr>
    <pageSetUpPr fitToPage="1"/>
  </sheetPr>
  <dimension ref="A2:O55"/>
  <sheetViews>
    <sheetView zoomScale="141" zoomScaleNormal="141" workbookViewId="0">
      <selection activeCell="C13" sqref="C13:N13"/>
    </sheetView>
  </sheetViews>
  <sheetFormatPr defaultColWidth="8.85546875" defaultRowHeight="12.75"/>
  <cols>
    <col min="1" max="1" width="8.85546875" style="130"/>
    <col min="2" max="2" width="10.42578125" style="130" customWidth="1"/>
    <col min="3" max="13" width="8.85546875" style="130"/>
    <col min="14" max="14" width="9.85546875" style="130" customWidth="1"/>
    <col min="15" max="15" width="0.140625" style="130" customWidth="1"/>
    <col min="16" max="16" width="3.42578125" style="130" customWidth="1"/>
    <col min="17" max="16384" width="8.85546875" style="130"/>
  </cols>
  <sheetData>
    <row r="2" spans="1:15" ht="13.5" thickBot="1"/>
    <row r="3" spans="1:15" ht="39" customHeight="1">
      <c r="B3" s="2307" t="s">
        <v>4210</v>
      </c>
      <c r="C3" s="2308"/>
      <c r="D3" s="2308"/>
      <c r="E3" s="2308"/>
      <c r="F3" s="2308"/>
      <c r="G3" s="2308"/>
      <c r="H3" s="2308"/>
      <c r="I3" s="2308"/>
      <c r="J3" s="2308"/>
      <c r="K3" s="2308"/>
      <c r="L3" s="2308"/>
      <c r="M3" s="2308"/>
      <c r="N3" s="2308"/>
      <c r="O3" s="2309"/>
    </row>
    <row r="4" spans="1:15" hidden="1">
      <c r="B4" s="2310"/>
      <c r="C4" s="2311"/>
      <c r="D4" s="2311"/>
      <c r="E4" s="2311"/>
      <c r="F4" s="2311"/>
      <c r="G4" s="2311"/>
      <c r="H4" s="2311"/>
      <c r="I4" s="2311"/>
      <c r="J4" s="2311"/>
      <c r="K4" s="2311"/>
      <c r="L4" s="2311"/>
      <c r="M4" s="2311"/>
      <c r="N4" s="2311"/>
      <c r="O4" s="2312"/>
    </row>
    <row r="5" spans="1:15" ht="72" customHeight="1">
      <c r="B5" s="1298"/>
      <c r="C5" s="2314" t="s">
        <v>3258</v>
      </c>
      <c r="D5" s="2315"/>
      <c r="E5" s="2315"/>
      <c r="F5" s="2315"/>
      <c r="G5" s="2315"/>
      <c r="H5" s="2315"/>
      <c r="I5" s="2315"/>
      <c r="J5" s="2315"/>
      <c r="K5" s="2315"/>
      <c r="L5" s="2315"/>
      <c r="M5" s="2315"/>
      <c r="N5" s="2315"/>
      <c r="O5" s="2316"/>
    </row>
    <row r="6" spans="1:15" ht="23.45" customHeight="1">
      <c r="A6" s="131"/>
      <c r="B6" s="1299"/>
      <c r="C6" s="2303" t="s">
        <v>3259</v>
      </c>
      <c r="D6" s="2303"/>
      <c r="E6" s="2303"/>
      <c r="F6" s="2303"/>
      <c r="G6" s="2303"/>
      <c r="H6" s="2303"/>
      <c r="I6" s="2303"/>
      <c r="J6" s="2303"/>
      <c r="K6" s="2303"/>
      <c r="L6" s="2303"/>
      <c r="M6" s="2303"/>
      <c r="N6" s="2303"/>
      <c r="O6" s="2317"/>
    </row>
    <row r="7" spans="1:15" ht="17.25" customHeight="1">
      <c r="A7" s="131"/>
      <c r="B7" s="1300" t="s">
        <v>2692</v>
      </c>
      <c r="C7" s="2306" t="s">
        <v>2693</v>
      </c>
      <c r="D7" s="2306"/>
      <c r="E7" s="2306"/>
      <c r="F7" s="2306"/>
      <c r="G7" s="2306"/>
      <c r="H7" s="2306"/>
      <c r="I7" s="2306"/>
      <c r="J7" s="2306"/>
      <c r="K7" s="2306"/>
      <c r="L7" s="2306"/>
      <c r="M7" s="2306"/>
      <c r="N7" s="2306"/>
      <c r="O7" s="2318"/>
    </row>
    <row r="8" spans="1:15" ht="15.6" customHeight="1">
      <c r="A8" s="131"/>
      <c r="B8" s="1301" t="s">
        <v>2534</v>
      </c>
      <c r="C8" s="2313" t="str">
        <f>'[1]II skyrius'!D10</f>
        <v xml:space="preserve">Gerinti  investicinės aplinkos patrauklumą ir didinti ekonominį potencialą </v>
      </c>
      <c r="D8" s="2313"/>
      <c r="E8" s="2313"/>
      <c r="F8" s="2313"/>
      <c r="G8" s="2313"/>
      <c r="H8" s="2313"/>
      <c r="I8" s="2313"/>
      <c r="J8" s="2313"/>
      <c r="K8" s="2313"/>
      <c r="L8" s="2313"/>
      <c r="M8" s="2313"/>
      <c r="N8" s="2313"/>
      <c r="O8" s="2318"/>
    </row>
    <row r="9" spans="1:15" ht="22.9" customHeight="1">
      <c r="A9" s="131"/>
      <c r="B9" s="1302"/>
      <c r="C9" s="2304" t="s">
        <v>3615</v>
      </c>
      <c r="D9" s="2304"/>
      <c r="E9" s="2304"/>
      <c r="F9" s="2304"/>
      <c r="G9" s="2304"/>
      <c r="H9" s="2304"/>
      <c r="I9" s="2304"/>
      <c r="J9" s="2304"/>
      <c r="K9" s="2304"/>
      <c r="L9" s="2304"/>
      <c r="M9" s="2304"/>
      <c r="N9" s="2304"/>
      <c r="O9" s="2318"/>
    </row>
    <row r="10" spans="1:15" ht="22.9" customHeight="1">
      <c r="A10" s="131"/>
      <c r="B10" s="1302"/>
      <c r="C10" s="2304" t="s">
        <v>1281</v>
      </c>
      <c r="D10" s="2304"/>
      <c r="E10" s="2304"/>
      <c r="F10" s="2304"/>
      <c r="G10" s="2304"/>
      <c r="H10" s="2304"/>
      <c r="I10" s="2304"/>
      <c r="J10" s="2304"/>
      <c r="K10" s="2304"/>
      <c r="L10" s="2304"/>
      <c r="M10" s="2304"/>
      <c r="N10" s="2304"/>
      <c r="O10" s="2318"/>
    </row>
    <row r="11" spans="1:15" ht="13.9" customHeight="1">
      <c r="A11" s="131"/>
      <c r="B11" s="1301" t="s">
        <v>2536</v>
      </c>
      <c r="C11" s="2303" t="str">
        <f>'[1]II skyrius'!D18</f>
        <v xml:space="preserve"> Didinti turistinį savivaldybės patrauklumą, teikiant viešąsias paslaugas bei plėtojant viešąją turizmo infrastruktūrą</v>
      </c>
      <c r="D11" s="2303"/>
      <c r="E11" s="2303"/>
      <c r="F11" s="2303"/>
      <c r="G11" s="2303"/>
      <c r="H11" s="2303"/>
      <c r="I11" s="2303"/>
      <c r="J11" s="2303"/>
      <c r="K11" s="2303"/>
      <c r="L11" s="2303"/>
      <c r="M11" s="2303"/>
      <c r="N11" s="2303"/>
      <c r="O11" s="2318"/>
    </row>
    <row r="12" spans="1:15" ht="13.9" customHeight="1">
      <c r="A12" s="131"/>
      <c r="B12" s="1302"/>
      <c r="C12" s="2304" t="s">
        <v>2535</v>
      </c>
      <c r="D12" s="2304"/>
      <c r="E12" s="2304"/>
      <c r="F12" s="2304"/>
      <c r="G12" s="2304"/>
      <c r="H12" s="2304"/>
      <c r="I12" s="2304"/>
      <c r="J12" s="2304"/>
      <c r="K12" s="2304"/>
      <c r="L12" s="2304"/>
      <c r="M12" s="2304"/>
      <c r="N12" s="2304"/>
      <c r="O12" s="2318"/>
    </row>
    <row r="13" spans="1:15" ht="22.15" customHeight="1">
      <c r="A13" s="131"/>
      <c r="B13" s="1302"/>
      <c r="C13" s="2304" t="s">
        <v>4212</v>
      </c>
      <c r="D13" s="2304"/>
      <c r="E13" s="2304"/>
      <c r="F13" s="2304"/>
      <c r="G13" s="2304"/>
      <c r="H13" s="2304"/>
      <c r="I13" s="2304"/>
      <c r="J13" s="2304"/>
      <c r="K13" s="2304"/>
      <c r="L13" s="2304"/>
      <c r="M13" s="2304"/>
      <c r="N13" s="2304"/>
      <c r="O13" s="2318"/>
    </row>
    <row r="14" spans="1:15" ht="15.6" customHeight="1">
      <c r="A14" s="131"/>
      <c r="B14" s="1302"/>
      <c r="C14" s="2304" t="s">
        <v>4213</v>
      </c>
      <c r="D14" s="2304"/>
      <c r="E14" s="2304"/>
      <c r="F14" s="2304"/>
      <c r="G14" s="2304"/>
      <c r="H14" s="2304"/>
      <c r="I14" s="2304"/>
      <c r="J14" s="2304"/>
      <c r="K14" s="2304"/>
      <c r="L14" s="2304"/>
      <c r="M14" s="2304"/>
      <c r="N14" s="2304"/>
      <c r="O14" s="2318"/>
    </row>
    <row r="15" spans="1:15" ht="15.6" customHeight="1">
      <c r="A15" s="131"/>
      <c r="B15" s="1303" t="s">
        <v>2694</v>
      </c>
      <c r="C15" s="2306" t="s">
        <v>4214</v>
      </c>
      <c r="D15" s="2306"/>
      <c r="E15" s="2306"/>
      <c r="F15" s="2306"/>
      <c r="G15" s="2306"/>
      <c r="H15" s="2306"/>
      <c r="I15" s="2306"/>
      <c r="J15" s="2306"/>
      <c r="K15" s="2306"/>
      <c r="L15" s="2306"/>
      <c r="M15" s="2306"/>
      <c r="N15" s="2306"/>
      <c r="O15" s="2318"/>
    </row>
    <row r="16" spans="1:15" ht="38.450000000000003" customHeight="1">
      <c r="A16" s="131"/>
      <c r="B16" s="1301" t="s">
        <v>2537</v>
      </c>
      <c r="C16" s="2303" t="str">
        <f>'[1]II skyrius'!D22</f>
        <v xml:space="preserve"> Tikslingai naudojant švietimui skirtas lėšas bei kryptingai tobulinant darbuotojų kompetencijas, kiekvienam besimokančiajam sukurti lygiavertes ir šiuolaikiškas kokybiško ugdymo(si) sąlygas, lemiančias geresnius mokinių pasiekimus, optimalią, integracinę, darniai ir racionaliai veikiančią, nuolat atsinaujinančią savivaldybės švietimo sistemą</v>
      </c>
      <c r="D16" s="2303"/>
      <c r="E16" s="2303"/>
      <c r="F16" s="2303"/>
      <c r="G16" s="2303"/>
      <c r="H16" s="2303"/>
      <c r="I16" s="2303"/>
      <c r="J16" s="2303"/>
      <c r="K16" s="2303"/>
      <c r="L16" s="2303"/>
      <c r="M16" s="2303"/>
      <c r="N16" s="2303"/>
      <c r="O16" s="2318"/>
    </row>
    <row r="17" spans="1:15" ht="13.9" customHeight="1">
      <c r="A17" s="131"/>
      <c r="B17" s="1302"/>
      <c r="C17" s="2304" t="s">
        <v>4215</v>
      </c>
      <c r="D17" s="2304"/>
      <c r="E17" s="2304"/>
      <c r="F17" s="2304"/>
      <c r="G17" s="2304"/>
      <c r="H17" s="2304"/>
      <c r="I17" s="2304"/>
      <c r="J17" s="2304"/>
      <c r="K17" s="2304"/>
      <c r="L17" s="2304"/>
      <c r="M17" s="2304"/>
      <c r="N17" s="2304"/>
      <c r="O17" s="2318"/>
    </row>
    <row r="18" spans="1:15" ht="13.15" customHeight="1">
      <c r="A18" s="131"/>
      <c r="B18" s="1302"/>
      <c r="C18" s="2305" t="s">
        <v>2538</v>
      </c>
      <c r="D18" s="2305"/>
      <c r="E18" s="2305"/>
      <c r="F18" s="2305"/>
      <c r="G18" s="2305"/>
      <c r="H18" s="2305"/>
      <c r="I18" s="2305"/>
      <c r="J18" s="2305"/>
      <c r="K18" s="2305"/>
      <c r="L18" s="2305"/>
      <c r="M18" s="2305"/>
      <c r="N18" s="2305"/>
      <c r="O18" s="2318"/>
    </row>
    <row r="19" spans="1:15" ht="12" customHeight="1">
      <c r="A19" s="131"/>
      <c r="B19" s="1302"/>
      <c r="C19" s="2304" t="s">
        <v>2539</v>
      </c>
      <c r="D19" s="2304"/>
      <c r="E19" s="2304"/>
      <c r="F19" s="2304"/>
      <c r="G19" s="2304"/>
      <c r="H19" s="2304"/>
      <c r="I19" s="2304"/>
      <c r="J19" s="2304"/>
      <c r="K19" s="2304"/>
      <c r="L19" s="2304"/>
      <c r="M19" s="2304"/>
      <c r="N19" s="2304"/>
      <c r="O19" s="2318"/>
    </row>
    <row r="20" spans="1:15" ht="13.9" customHeight="1">
      <c r="A20" s="131"/>
      <c r="B20" s="1302"/>
      <c r="C20" s="2304" t="s">
        <v>4216</v>
      </c>
      <c r="D20" s="2304"/>
      <c r="E20" s="2304"/>
      <c r="F20" s="2304"/>
      <c r="G20" s="2304"/>
      <c r="H20" s="2304"/>
      <c r="I20" s="2304"/>
      <c r="J20" s="2304"/>
      <c r="K20" s="2304"/>
      <c r="L20" s="2304"/>
      <c r="M20" s="2304"/>
      <c r="N20" s="2304"/>
      <c r="O20" s="2318"/>
    </row>
    <row r="21" spans="1:15" ht="14.45" customHeight="1">
      <c r="A21" s="131"/>
      <c r="B21" s="1302"/>
      <c r="C21" s="2304" t="s">
        <v>2540</v>
      </c>
      <c r="D21" s="2304"/>
      <c r="E21" s="2304"/>
      <c r="F21" s="2304"/>
      <c r="G21" s="2304"/>
      <c r="H21" s="2304"/>
      <c r="I21" s="2304"/>
      <c r="J21" s="2304"/>
      <c r="K21" s="2304"/>
      <c r="L21" s="2304"/>
      <c r="M21" s="2304"/>
      <c r="N21" s="2304"/>
      <c r="O21" s="2318"/>
    </row>
    <row r="22" spans="1:15" ht="27" customHeight="1">
      <c r="A22" s="131"/>
      <c r="B22" s="1301" t="s">
        <v>2541</v>
      </c>
      <c r="C22" s="2303" t="str">
        <f>'[1]II skyrius'!D30</f>
        <v>Sudaryti sąlygas visų amžiaus grupių ir galimybių visaginiečiams jų sveikai gyvensenai, fiziniam aktyvumui, sportavimui bei siekti, kad tai taptų savivaldybės bendruomenės gyvensenos dalimi</v>
      </c>
      <c r="D22" s="2303"/>
      <c r="E22" s="2303"/>
      <c r="F22" s="2303"/>
      <c r="G22" s="2303"/>
      <c r="H22" s="2303"/>
      <c r="I22" s="2303"/>
      <c r="J22" s="2303"/>
      <c r="K22" s="2303"/>
      <c r="L22" s="2303"/>
      <c r="M22" s="2303"/>
      <c r="N22" s="2303"/>
      <c r="O22" s="2318"/>
    </row>
    <row r="23" spans="1:15" ht="14.45" customHeight="1">
      <c r="A23" s="131"/>
      <c r="B23" s="1302"/>
      <c r="C23" s="2304" t="s">
        <v>2543</v>
      </c>
      <c r="D23" s="2304"/>
      <c r="E23" s="2304"/>
      <c r="F23" s="2304"/>
      <c r="G23" s="2304"/>
      <c r="H23" s="2304"/>
      <c r="I23" s="2304"/>
      <c r="J23" s="2304"/>
      <c r="K23" s="2304"/>
      <c r="L23" s="2304"/>
      <c r="M23" s="2304"/>
      <c r="N23" s="2304"/>
      <c r="O23" s="2318"/>
    </row>
    <row r="24" spans="1:15" ht="13.15" customHeight="1">
      <c r="A24" s="131"/>
      <c r="B24" s="1302"/>
      <c r="C24" s="2304" t="s">
        <v>2542</v>
      </c>
      <c r="D24" s="2304"/>
      <c r="E24" s="2304"/>
      <c r="F24" s="2304"/>
      <c r="G24" s="2304"/>
      <c r="H24" s="2304"/>
      <c r="I24" s="2304"/>
      <c r="J24" s="2304"/>
      <c r="K24" s="2304"/>
      <c r="L24" s="2304"/>
      <c r="M24" s="2304"/>
      <c r="N24" s="2304"/>
      <c r="O24" s="2318"/>
    </row>
    <row r="25" spans="1:15" ht="16.149999999999999" customHeight="1">
      <c r="A25" s="131"/>
      <c r="B25" s="1301" t="s">
        <v>2544</v>
      </c>
      <c r="C25" s="2303" t="str">
        <f>'[1]II skyrius'!D36</f>
        <v>Įgyvendinti valstybinę kultūros politiką ir formuoti regioninį identitetą, stiprinti pilietiškumą ir bendruomenės į(si)traukimą į kūrybines, kultūrines veiklas</v>
      </c>
      <c r="D25" s="2303"/>
      <c r="E25" s="2303"/>
      <c r="F25" s="2303"/>
      <c r="G25" s="2303"/>
      <c r="H25" s="2303"/>
      <c r="I25" s="2303"/>
      <c r="J25" s="2303"/>
      <c r="K25" s="2303"/>
      <c r="L25" s="2303"/>
      <c r="M25" s="2303"/>
      <c r="N25" s="2303"/>
      <c r="O25" s="2318"/>
    </row>
    <row r="26" spans="1:15" ht="13.15" customHeight="1">
      <c r="A26" s="131"/>
      <c r="B26" s="1302"/>
      <c r="C26" s="2304" t="s">
        <v>2545</v>
      </c>
      <c r="D26" s="2304"/>
      <c r="E26" s="2304"/>
      <c r="F26" s="2304"/>
      <c r="G26" s="2304"/>
      <c r="H26" s="2304"/>
      <c r="I26" s="2304"/>
      <c r="J26" s="2304"/>
      <c r="K26" s="2304"/>
      <c r="L26" s="2304"/>
      <c r="M26" s="2304"/>
      <c r="N26" s="2304"/>
      <c r="O26" s="2318"/>
    </row>
    <row r="27" spans="1:15" ht="13.15" customHeight="1">
      <c r="A27" s="131"/>
      <c r="B27" s="1302"/>
      <c r="C27" s="2304" t="s">
        <v>2546</v>
      </c>
      <c r="D27" s="2304"/>
      <c r="E27" s="2304"/>
      <c r="F27" s="2304"/>
      <c r="G27" s="2304"/>
      <c r="H27" s="2304"/>
      <c r="I27" s="2304"/>
      <c r="J27" s="2304"/>
      <c r="K27" s="2304"/>
      <c r="L27" s="2304"/>
      <c r="M27" s="2304"/>
      <c r="N27" s="2304"/>
      <c r="O27" s="2318"/>
    </row>
    <row r="28" spans="1:15" ht="16.149999999999999" customHeight="1">
      <c r="A28" s="131"/>
      <c r="B28" s="1301" t="s">
        <v>2547</v>
      </c>
      <c r="C28" s="2303" t="str">
        <f>'[1]II skyrius'!D43</f>
        <v>Stiprinti ir puoselėti gyventojų sveikatą</v>
      </c>
      <c r="D28" s="2303"/>
      <c r="E28" s="2303"/>
      <c r="F28" s="2303"/>
      <c r="G28" s="2303"/>
      <c r="H28" s="2303"/>
      <c r="I28" s="2303"/>
      <c r="J28" s="2303"/>
      <c r="K28" s="2303"/>
      <c r="L28" s="2303"/>
      <c r="M28" s="2303"/>
      <c r="N28" s="2303"/>
      <c r="O28" s="2318"/>
    </row>
    <row r="29" spans="1:15" ht="21.6" customHeight="1">
      <c r="A29" s="131"/>
      <c r="B29" s="1302"/>
      <c r="C29" s="2304" t="s">
        <v>4217</v>
      </c>
      <c r="D29" s="2304"/>
      <c r="E29" s="2304"/>
      <c r="F29" s="2304"/>
      <c r="G29" s="2304"/>
      <c r="H29" s="2304"/>
      <c r="I29" s="2304"/>
      <c r="J29" s="2304"/>
      <c r="K29" s="2304"/>
      <c r="L29" s="2304"/>
      <c r="M29" s="2304"/>
      <c r="N29" s="2304"/>
      <c r="O29" s="2318"/>
    </row>
    <row r="30" spans="1:15">
      <c r="A30" s="131"/>
      <c r="B30" s="1301" t="s">
        <v>2548</v>
      </c>
      <c r="C30" s="2303" t="str">
        <f>'[1]II skyrius'!D47</f>
        <v>Pagerinti  ir plėsti socialinių paslaugų kokybę ir prieinamumą bei sukurti jų plėtrai reikalingą  infrastruktūrą</v>
      </c>
      <c r="D30" s="2303"/>
      <c r="E30" s="2303"/>
      <c r="F30" s="2303"/>
      <c r="G30" s="2303"/>
      <c r="H30" s="2303"/>
      <c r="I30" s="2303"/>
      <c r="J30" s="2303"/>
      <c r="K30" s="2303"/>
      <c r="L30" s="2303"/>
      <c r="M30" s="2303"/>
      <c r="N30" s="2303"/>
      <c r="O30" s="2318"/>
    </row>
    <row r="31" spans="1:15" ht="13.15" customHeight="1">
      <c r="A31" s="131"/>
      <c r="B31" s="1302"/>
      <c r="C31" s="2304" t="s">
        <v>2549</v>
      </c>
      <c r="D31" s="2304"/>
      <c r="E31" s="2304"/>
      <c r="F31" s="2304"/>
      <c r="G31" s="2304"/>
      <c r="H31" s="2304"/>
      <c r="I31" s="2304"/>
      <c r="J31" s="2304"/>
      <c r="K31" s="2304"/>
      <c r="L31" s="2304"/>
      <c r="M31" s="2304"/>
      <c r="N31" s="2304"/>
      <c r="O31" s="2318"/>
    </row>
    <row r="32" spans="1:15" ht="13.15" customHeight="1">
      <c r="A32" s="131"/>
      <c r="B32" s="1302"/>
      <c r="C32" s="2304" t="s">
        <v>2550</v>
      </c>
      <c r="D32" s="2304"/>
      <c r="E32" s="2304"/>
      <c r="F32" s="2304"/>
      <c r="G32" s="2304"/>
      <c r="H32" s="2304"/>
      <c r="I32" s="2304"/>
      <c r="J32" s="2304"/>
      <c r="K32" s="2304"/>
      <c r="L32" s="2304"/>
      <c r="M32" s="2304"/>
      <c r="N32" s="2304"/>
      <c r="O32" s="2318"/>
    </row>
    <row r="33" spans="1:15" ht="13.9" customHeight="1">
      <c r="A33" s="131"/>
      <c r="B33" s="1301" t="s">
        <v>2551</v>
      </c>
      <c r="C33" s="2303" t="str">
        <f>'[1]II skyrius'!D49</f>
        <v>Sudaryti galimybes jaunimui atvykti, dirbti ir gyventi Visagino savivaldybėje</v>
      </c>
      <c r="D33" s="2303"/>
      <c r="E33" s="2303"/>
      <c r="F33" s="2303"/>
      <c r="G33" s="2303"/>
      <c r="H33" s="2303"/>
      <c r="I33" s="2303"/>
      <c r="J33" s="2303"/>
      <c r="K33" s="2303"/>
      <c r="L33" s="2303"/>
      <c r="M33" s="2303"/>
      <c r="N33" s="2303"/>
      <c r="O33" s="2318"/>
    </row>
    <row r="34" spans="1:15" ht="13.9" customHeight="1">
      <c r="A34" s="131"/>
      <c r="B34" s="1302"/>
      <c r="C34" s="2304" t="s">
        <v>2552</v>
      </c>
      <c r="D34" s="2304"/>
      <c r="E34" s="2304"/>
      <c r="F34" s="2304"/>
      <c r="G34" s="2304"/>
      <c r="H34" s="2304"/>
      <c r="I34" s="2304"/>
      <c r="J34" s="2304"/>
      <c r="K34" s="2304"/>
      <c r="L34" s="2304"/>
      <c r="M34" s="2304"/>
      <c r="N34" s="2304"/>
      <c r="O34" s="2318"/>
    </row>
    <row r="35" spans="1:15" ht="25.9" customHeight="1">
      <c r="A35" s="131"/>
      <c r="B35" s="1301" t="s">
        <v>2553</v>
      </c>
      <c r="C35" s="2303" t="str">
        <f>'[1]II skyrius'!D52</f>
        <v xml:space="preserve">Gyventojų socialinio, pilietinio aktyvumo, dalyvavimo savanoriškoje, visuomeninėje veikloje, tarpusavio pasitikėjimo, bendruomenės socialinės atsakomybės ir įsitraukimo didinimas  </v>
      </c>
      <c r="D35" s="2303"/>
      <c r="E35" s="2303"/>
      <c r="F35" s="2303"/>
      <c r="G35" s="2303"/>
      <c r="H35" s="2303"/>
      <c r="I35" s="2303"/>
      <c r="J35" s="2303"/>
      <c r="K35" s="2303"/>
      <c r="L35" s="2303"/>
      <c r="M35" s="2303"/>
      <c r="N35" s="2303"/>
      <c r="O35" s="2318"/>
    </row>
    <row r="36" spans="1:15" ht="24" customHeight="1">
      <c r="A36" s="131"/>
      <c r="B36" s="1302"/>
      <c r="C36" s="2304" t="s">
        <v>4218</v>
      </c>
      <c r="D36" s="2304"/>
      <c r="E36" s="2304"/>
      <c r="F36" s="2304"/>
      <c r="G36" s="2304"/>
      <c r="H36" s="2304"/>
      <c r="I36" s="2304"/>
      <c r="J36" s="2304"/>
      <c r="K36" s="2304"/>
      <c r="L36" s="2304"/>
      <c r="M36" s="2304"/>
      <c r="N36" s="2304"/>
      <c r="O36" s="2318"/>
    </row>
    <row r="37" spans="1:15" ht="25.9" customHeight="1">
      <c r="A37" s="131"/>
      <c r="B37" s="1302"/>
      <c r="C37" s="2304" t="s">
        <v>4219</v>
      </c>
      <c r="D37" s="2304"/>
      <c r="E37" s="2304"/>
      <c r="F37" s="2304"/>
      <c r="G37" s="2304"/>
      <c r="H37" s="2304"/>
      <c r="I37" s="2304"/>
      <c r="J37" s="2304"/>
      <c r="K37" s="2304"/>
      <c r="L37" s="2304"/>
      <c r="M37" s="2304"/>
      <c r="N37" s="2304"/>
      <c r="O37" s="2318"/>
    </row>
    <row r="38" spans="1:15" ht="17.45" customHeight="1">
      <c r="A38" s="131"/>
      <c r="B38" s="1301" t="s">
        <v>2554</v>
      </c>
      <c r="C38" s="2303" t="str">
        <f>'[1]II skyrius'!D56</f>
        <v>Tobulinti viešojo valdymo sistemą, didinti jos efektyvumą ir atvirumą</v>
      </c>
      <c r="D38" s="2303"/>
      <c r="E38" s="2303"/>
      <c r="F38" s="2303"/>
      <c r="G38" s="2303"/>
      <c r="H38" s="2303"/>
      <c r="I38" s="2303"/>
      <c r="J38" s="2303"/>
      <c r="K38" s="2303"/>
      <c r="L38" s="2303"/>
      <c r="M38" s="2303"/>
      <c r="N38" s="2303"/>
      <c r="O38" s="2318"/>
    </row>
    <row r="39" spans="1:15" ht="12" customHeight="1">
      <c r="A39" s="131"/>
      <c r="B39" s="1302"/>
      <c r="C39" s="2304" t="s">
        <v>4220</v>
      </c>
      <c r="D39" s="2304"/>
      <c r="E39" s="2304"/>
      <c r="F39" s="2304"/>
      <c r="G39" s="2304"/>
      <c r="H39" s="2304"/>
      <c r="I39" s="2304"/>
      <c r="J39" s="2304"/>
      <c r="K39" s="2304"/>
      <c r="L39" s="2304"/>
      <c r="M39" s="2304"/>
      <c r="N39" s="2304"/>
      <c r="O39" s="2318"/>
    </row>
    <row r="40" spans="1:15" ht="14.45" customHeight="1">
      <c r="A40" s="131"/>
      <c r="B40" s="1302"/>
      <c r="C40" s="2304" t="s">
        <v>2555</v>
      </c>
      <c r="D40" s="2304"/>
      <c r="E40" s="2304"/>
      <c r="F40" s="2304"/>
      <c r="G40" s="2304"/>
      <c r="H40" s="2304"/>
      <c r="I40" s="2304"/>
      <c r="J40" s="2304"/>
      <c r="K40" s="2304"/>
      <c r="L40" s="2304"/>
      <c r="M40" s="2304"/>
      <c r="N40" s="2304"/>
      <c r="O40" s="2318"/>
    </row>
    <row r="41" spans="1:15" ht="14.45" hidden="1" customHeight="1" thickBot="1">
      <c r="A41" s="131"/>
      <c r="B41" s="1302"/>
      <c r="C41" s="2320" t="s">
        <v>3646</v>
      </c>
      <c r="D41" s="2320"/>
      <c r="E41" s="2320"/>
      <c r="F41" s="2320"/>
      <c r="G41" s="2320"/>
      <c r="H41" s="2320"/>
      <c r="I41" s="2320"/>
      <c r="J41" s="2320"/>
      <c r="K41" s="2320"/>
      <c r="L41" s="2320"/>
      <c r="M41" s="2320"/>
      <c r="N41" s="2320"/>
      <c r="O41" s="2318"/>
    </row>
    <row r="42" spans="1:15" ht="14.45" customHeight="1">
      <c r="A42" s="131"/>
      <c r="B42" s="1300" t="s">
        <v>2695</v>
      </c>
      <c r="C42" s="2306" t="s">
        <v>2696</v>
      </c>
      <c r="D42" s="2306"/>
      <c r="E42" s="2306"/>
      <c r="F42" s="2306"/>
      <c r="G42" s="2306"/>
      <c r="H42" s="2306"/>
      <c r="I42" s="2306"/>
      <c r="J42" s="2306"/>
      <c r="K42" s="2306"/>
      <c r="L42" s="2306"/>
      <c r="M42" s="2306"/>
      <c r="N42" s="2306"/>
      <c r="O42" s="2318"/>
    </row>
    <row r="43" spans="1:15" ht="15" customHeight="1">
      <c r="A43" s="131"/>
      <c r="B43" s="1301" t="s">
        <v>2556</v>
      </c>
      <c r="C43" s="2303" t="str">
        <f>'[1]II skyrius'!D64</f>
        <v>Vykdyti kryptingą darnaus judumo politiką savivaldybėje</v>
      </c>
      <c r="D43" s="2303"/>
      <c r="E43" s="2303"/>
      <c r="F43" s="2303"/>
      <c r="G43" s="2303"/>
      <c r="H43" s="2303"/>
      <c r="I43" s="2303"/>
      <c r="J43" s="2303"/>
      <c r="K43" s="2303"/>
      <c r="L43" s="2303"/>
      <c r="M43" s="2303"/>
      <c r="N43" s="2303"/>
      <c r="O43" s="2318"/>
    </row>
    <row r="44" spans="1:15" ht="10.9" customHeight="1">
      <c r="A44" s="131"/>
      <c r="B44" s="1301"/>
      <c r="C44" s="2302" t="str">
        <f>'[1]II skyrius'!D65</f>
        <v>Skatinti bemotorio transporto pasirinkimą ir pėsčiųjų judumą</v>
      </c>
      <c r="D44" s="2302"/>
      <c r="E44" s="2302"/>
      <c r="F44" s="2302"/>
      <c r="G44" s="2302"/>
      <c r="H44" s="2302"/>
      <c r="I44" s="2302"/>
      <c r="J44" s="2302"/>
      <c r="K44" s="2302"/>
      <c r="L44" s="2302"/>
      <c r="M44" s="2302"/>
      <c r="N44" s="2302"/>
      <c r="O44" s="2318"/>
    </row>
    <row r="45" spans="1:15" ht="13.15" customHeight="1">
      <c r="A45" s="131"/>
      <c r="B45" s="1302"/>
      <c r="C45" s="2304" t="s">
        <v>2557</v>
      </c>
      <c r="D45" s="2304"/>
      <c r="E45" s="2304"/>
      <c r="F45" s="2304"/>
      <c r="G45" s="2304"/>
      <c r="H45" s="2304"/>
      <c r="I45" s="2304"/>
      <c r="J45" s="2304"/>
      <c r="K45" s="2304"/>
      <c r="L45" s="2304"/>
      <c r="M45" s="2304"/>
      <c r="N45" s="2304"/>
      <c r="O45" s="2318"/>
    </row>
    <row r="46" spans="1:15" ht="12.6" hidden="1" customHeight="1">
      <c r="A46" s="131"/>
      <c r="B46" s="1302"/>
      <c r="C46" s="2304" t="s">
        <v>2606</v>
      </c>
      <c r="D46" s="2304"/>
      <c r="E46" s="2304"/>
      <c r="F46" s="2304"/>
      <c r="G46" s="2304"/>
      <c r="H46" s="2304"/>
      <c r="I46" s="2304"/>
      <c r="J46" s="2304"/>
      <c r="K46" s="2304"/>
      <c r="L46" s="2304"/>
      <c r="M46" s="2304"/>
      <c r="N46" s="2304"/>
      <c r="O46" s="2318"/>
    </row>
    <row r="47" spans="1:15" ht="12.6" customHeight="1">
      <c r="A47" s="131"/>
      <c r="B47" s="1302"/>
      <c r="C47" s="2304" t="s">
        <v>2558</v>
      </c>
      <c r="D47" s="2304"/>
      <c r="E47" s="2304"/>
      <c r="F47" s="2304"/>
      <c r="G47" s="2304"/>
      <c r="H47" s="2304"/>
      <c r="I47" s="2304"/>
      <c r="J47" s="2304"/>
      <c r="K47" s="2304"/>
      <c r="L47" s="2304"/>
      <c r="M47" s="2304"/>
      <c r="N47" s="2304"/>
      <c r="O47" s="2318"/>
    </row>
    <row r="48" spans="1:15">
      <c r="A48" s="131"/>
      <c r="B48" s="1301" t="s">
        <v>2559</v>
      </c>
      <c r="C48" s="2303" t="str">
        <f>'[1]II skyrius'!D68</f>
        <v>Skatinti tvarų miesto teritorijos vystymą</v>
      </c>
      <c r="D48" s="2303"/>
      <c r="E48" s="2303"/>
      <c r="F48" s="2303"/>
      <c r="G48" s="2303"/>
      <c r="H48" s="2303"/>
      <c r="I48" s="2303"/>
      <c r="J48" s="2303"/>
      <c r="K48" s="2303"/>
      <c r="L48" s="2303"/>
      <c r="M48" s="2303"/>
      <c r="N48" s="2303"/>
      <c r="O48" s="2318"/>
    </row>
    <row r="49" spans="1:15" ht="13.15" customHeight="1">
      <c r="A49" s="131"/>
      <c r="B49" s="1302"/>
      <c r="C49" s="2304" t="s">
        <v>2562</v>
      </c>
      <c r="D49" s="2304"/>
      <c r="E49" s="2304"/>
      <c r="F49" s="2304"/>
      <c r="G49" s="2304"/>
      <c r="H49" s="2304"/>
      <c r="I49" s="2304"/>
      <c r="J49" s="2304"/>
      <c r="K49" s="2304"/>
      <c r="L49" s="2304"/>
      <c r="M49" s="2304"/>
      <c r="N49" s="2304"/>
      <c r="O49" s="2318"/>
    </row>
    <row r="50" spans="1:15" ht="13.9" customHeight="1">
      <c r="A50" s="131"/>
      <c r="B50" s="1302"/>
      <c r="C50" s="2305" t="s">
        <v>4221</v>
      </c>
      <c r="D50" s="2305"/>
      <c r="E50" s="2305"/>
      <c r="F50" s="2305"/>
      <c r="G50" s="2305"/>
      <c r="H50" s="2305"/>
      <c r="I50" s="2305"/>
      <c r="J50" s="2305"/>
      <c r="K50" s="2305"/>
      <c r="L50" s="2305"/>
      <c r="M50" s="2305"/>
      <c r="N50" s="2305"/>
      <c r="O50" s="2318"/>
    </row>
    <row r="51" spans="1:15">
      <c r="A51" s="131"/>
      <c r="B51" s="1301" t="s">
        <v>2561</v>
      </c>
      <c r="C51" s="2303" t="str">
        <f>'[1]II skyrius'!D72</f>
        <v>Skatinti žaliąją savivaldybės plėtrą</v>
      </c>
      <c r="D51" s="2303"/>
      <c r="E51" s="2303"/>
      <c r="F51" s="2303"/>
      <c r="G51" s="2303"/>
      <c r="H51" s="2303"/>
      <c r="I51" s="2303"/>
      <c r="J51" s="2303"/>
      <c r="K51" s="2303"/>
      <c r="L51" s="2303"/>
      <c r="M51" s="2303"/>
      <c r="N51" s="2303"/>
      <c r="O51" s="2318"/>
    </row>
    <row r="52" spans="1:15" ht="13.15" customHeight="1">
      <c r="A52" s="131"/>
      <c r="B52" s="1302"/>
      <c r="C52" s="2304" t="s">
        <v>2560</v>
      </c>
      <c r="D52" s="2304"/>
      <c r="E52" s="2304"/>
      <c r="F52" s="2304"/>
      <c r="G52" s="2304"/>
      <c r="H52" s="2304"/>
      <c r="I52" s="2304"/>
      <c r="J52" s="2304"/>
      <c r="K52" s="2304"/>
      <c r="L52" s="2304"/>
      <c r="M52" s="2304"/>
      <c r="N52" s="2304"/>
      <c r="O52" s="2318"/>
    </row>
    <row r="53" spans="1:15" ht="18.75" customHeight="1">
      <c r="A53" s="131"/>
      <c r="B53" s="1302"/>
      <c r="C53" s="2304" t="s">
        <v>3616</v>
      </c>
      <c r="D53" s="2304"/>
      <c r="E53" s="2304"/>
      <c r="F53" s="2304"/>
      <c r="G53" s="2304"/>
      <c r="H53" s="2304"/>
      <c r="I53" s="2304"/>
      <c r="J53" s="2304"/>
      <c r="K53" s="2304"/>
      <c r="L53" s="2304"/>
      <c r="M53" s="2304"/>
      <c r="N53" s="2304"/>
      <c r="O53" s="2318"/>
    </row>
    <row r="54" spans="1:15" ht="24.6" customHeight="1" thickBot="1">
      <c r="A54" s="131"/>
      <c r="B54" s="1304"/>
      <c r="C54" s="3755" t="s">
        <v>4222</v>
      </c>
      <c r="D54" s="3756"/>
      <c r="E54" s="3756"/>
      <c r="F54" s="3756"/>
      <c r="G54" s="3756"/>
      <c r="H54" s="3756"/>
      <c r="I54" s="3756"/>
      <c r="J54" s="3756"/>
      <c r="K54" s="3756"/>
      <c r="L54" s="3756"/>
      <c r="M54" s="3756"/>
      <c r="N54" s="3757"/>
      <c r="O54" s="2319"/>
    </row>
    <row r="55" spans="1:15" hidden="1">
      <c r="A55" s="131"/>
      <c r="B55" s="1296"/>
      <c r="C55" s="1296"/>
      <c r="D55" s="1296"/>
      <c r="E55" s="1296"/>
      <c r="F55" s="1296"/>
      <c r="G55" s="1296"/>
      <c r="H55" s="1296"/>
      <c r="I55" s="1296"/>
      <c r="J55" s="1296"/>
      <c r="K55" s="1296"/>
      <c r="L55" s="1296"/>
      <c r="M55" s="1296"/>
      <c r="N55" s="1296"/>
      <c r="O55" s="1297"/>
    </row>
  </sheetData>
  <sheetProtection algorithmName="SHA-512" hashValue="j3lWjpXV82q3IaCtq2sPV15Xk1mWzC0/25PUViJHUkyXuC+/6tCDT/yEoH7i66RHXo3Z+PGEyvh6oiQdg6PDsw==" saltValue="aNMHjjsSxMFB6xKmaxLyrg==" spinCount="100000" sheet="1" objects="1" scenarios="1"/>
  <mergeCells count="53">
    <mergeCell ref="C54:N54"/>
    <mergeCell ref="B3:O3"/>
    <mergeCell ref="B4:O4"/>
    <mergeCell ref="C8:N8"/>
    <mergeCell ref="C11:N11"/>
    <mergeCell ref="C16:N16"/>
    <mergeCell ref="C6:N6"/>
    <mergeCell ref="C13:N13"/>
    <mergeCell ref="C9:N9"/>
    <mergeCell ref="C10:N10"/>
    <mergeCell ref="C12:N12"/>
    <mergeCell ref="C5:O5"/>
    <mergeCell ref="O6:O54"/>
    <mergeCell ref="C42:N42"/>
    <mergeCell ref="C23:N23"/>
    <mergeCell ref="C24:N24"/>
    <mergeCell ref="C26:N26"/>
    <mergeCell ref="C52:N52"/>
    <mergeCell ref="C53:N53"/>
    <mergeCell ref="C40:N40"/>
    <mergeCell ref="C36:N36"/>
    <mergeCell ref="C37:N37"/>
    <mergeCell ref="C39:N39"/>
    <mergeCell ref="C38:N38"/>
    <mergeCell ref="C43:N43"/>
    <mergeCell ref="C48:N48"/>
    <mergeCell ref="C51:N51"/>
    <mergeCell ref="C46:N46"/>
    <mergeCell ref="C49:N49"/>
    <mergeCell ref="C50:N50"/>
    <mergeCell ref="C45:N45"/>
    <mergeCell ref="C47:N47"/>
    <mergeCell ref="C7:N7"/>
    <mergeCell ref="C15:N15"/>
    <mergeCell ref="C17:N17"/>
    <mergeCell ref="C28:N28"/>
    <mergeCell ref="C30:N30"/>
    <mergeCell ref="C27:N27"/>
    <mergeCell ref="C25:N25"/>
    <mergeCell ref="C29:N29"/>
    <mergeCell ref="C44:N44"/>
    <mergeCell ref="C22:N22"/>
    <mergeCell ref="C14:N14"/>
    <mergeCell ref="C19:N19"/>
    <mergeCell ref="C20:N20"/>
    <mergeCell ref="C21:N21"/>
    <mergeCell ref="C18:N18"/>
    <mergeCell ref="C33:N33"/>
    <mergeCell ref="C35:N35"/>
    <mergeCell ref="C34:N34"/>
    <mergeCell ref="C31:N31"/>
    <mergeCell ref="C32:N32"/>
    <mergeCell ref="C41:N41"/>
  </mergeCells>
  <pageMargins left="0.7" right="0.7" top="0.75" bottom="0.75" header="0.3" footer="0.3"/>
  <pageSetup paperSize="9" scale="71" fitToHeight="0"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E01DC-FC68-49B7-B2D7-D2255C50C2B6}">
  <sheetPr>
    <pageSetUpPr fitToPage="1"/>
  </sheetPr>
  <dimension ref="D1:AF56"/>
  <sheetViews>
    <sheetView topLeftCell="D1" zoomScale="136" zoomScaleNormal="136" zoomScaleSheetLayoutView="106" workbookViewId="0">
      <selection activeCell="L12" sqref="L12"/>
    </sheetView>
  </sheetViews>
  <sheetFormatPr defaultColWidth="9.140625" defaultRowHeight="18" customHeight="1"/>
  <cols>
    <col min="1" max="3" width="0" style="103" hidden="1" customWidth="1"/>
    <col min="4" max="5" width="9.140625" style="103"/>
    <col min="6" max="6" width="8.28515625" style="103" customWidth="1"/>
    <col min="7" max="7" width="30.7109375" style="103" customWidth="1"/>
    <col min="8" max="10" width="15.7109375" style="103" hidden="1" customWidth="1"/>
    <col min="11" max="11" width="15.7109375" style="103" customWidth="1"/>
    <col min="12" max="12" width="16.5703125" style="103" customWidth="1"/>
    <col min="13" max="13" width="16.42578125" style="103" customWidth="1"/>
    <col min="14" max="14" width="10.7109375" style="310" hidden="1" customWidth="1"/>
    <col min="15" max="15" width="11.5703125" style="103" hidden="1" customWidth="1"/>
    <col min="16" max="16" width="16.28515625" style="103" hidden="1" customWidth="1"/>
    <col min="17" max="17" width="14.7109375" style="103" hidden="1" customWidth="1"/>
    <col min="18" max="18" width="10.7109375" style="103" hidden="1" customWidth="1"/>
    <col min="19" max="28" width="9.140625" style="103" hidden="1" customWidth="1"/>
    <col min="29" max="30" width="9.140625" style="103" customWidth="1"/>
    <col min="31" max="32" width="9.5703125" style="103" customWidth="1"/>
    <col min="33" max="33" width="9.140625" style="103" customWidth="1"/>
    <col min="34" max="16384" width="9.140625" style="103"/>
  </cols>
  <sheetData>
    <row r="1" spans="4:29" ht="18" customHeight="1" thickBot="1"/>
    <row r="2" spans="4:29" ht="18" customHeight="1" thickBot="1">
      <c r="E2" s="2328"/>
      <c r="F2" s="2329"/>
      <c r="G2" s="2329"/>
      <c r="H2" s="2329"/>
      <c r="I2" s="2329"/>
      <c r="J2" s="2329"/>
      <c r="K2" s="2329"/>
      <c r="L2" s="2329"/>
      <c r="M2" s="2329"/>
      <c r="N2" s="2329"/>
      <c r="O2" s="2329"/>
      <c r="P2" s="2329"/>
      <c r="Q2" s="2329"/>
      <c r="R2" s="2329"/>
      <c r="S2" s="2329"/>
      <c r="T2" s="2329"/>
      <c r="U2" s="2329"/>
      <c r="V2" s="2329"/>
      <c r="W2" s="2329"/>
      <c r="X2" s="2329"/>
      <c r="Y2" s="2329"/>
      <c r="Z2" s="2329"/>
      <c r="AA2" s="2329"/>
      <c r="AB2" s="2329"/>
      <c r="AC2" s="2330"/>
    </row>
    <row r="3" spans="4:29" ht="26.25" customHeight="1">
      <c r="E3" s="302"/>
      <c r="F3" s="2327" t="s">
        <v>4211</v>
      </c>
      <c r="G3" s="2327"/>
      <c r="H3" s="2327"/>
      <c r="I3" s="2327"/>
      <c r="J3" s="2327"/>
      <c r="K3" s="2327"/>
      <c r="L3" s="2327"/>
      <c r="M3" s="2327"/>
      <c r="N3" s="301"/>
      <c r="AC3" s="1260"/>
    </row>
    <row r="4" spans="4:29" ht="69" customHeight="1">
      <c r="E4" s="302"/>
      <c r="F4" s="2326" t="s">
        <v>4141</v>
      </c>
      <c r="G4" s="2326"/>
      <c r="H4" s="2326"/>
      <c r="I4" s="2326"/>
      <c r="J4" s="2326"/>
      <c r="K4" s="2326"/>
      <c r="L4" s="2326"/>
      <c r="M4" s="2326"/>
      <c r="N4" s="303"/>
      <c r="AC4" s="1260"/>
    </row>
    <row r="5" spans="4:29" ht="47.25" customHeight="1">
      <c r="E5" s="302"/>
      <c r="F5" s="164"/>
      <c r="G5" s="164"/>
      <c r="H5" s="164"/>
      <c r="I5" s="164"/>
      <c r="J5" s="164"/>
      <c r="K5" s="164"/>
      <c r="L5" s="164"/>
      <c r="M5" s="164"/>
      <c r="N5" s="303"/>
      <c r="AC5" s="1260"/>
    </row>
    <row r="6" spans="4:29" ht="47.25" customHeight="1">
      <c r="E6" s="302"/>
      <c r="F6" s="164"/>
      <c r="G6" s="164"/>
      <c r="H6" s="164"/>
      <c r="I6" s="164"/>
      <c r="J6" s="164"/>
      <c r="K6" s="164"/>
      <c r="L6" s="164"/>
      <c r="M6" s="164"/>
      <c r="N6" s="303"/>
      <c r="AC6" s="1260"/>
    </row>
    <row r="7" spans="4:29" ht="47.25" customHeight="1">
      <c r="E7" s="302"/>
      <c r="F7" s="164"/>
      <c r="G7" s="164"/>
      <c r="H7" s="164"/>
      <c r="I7" s="164"/>
      <c r="J7" s="164"/>
      <c r="K7" s="164"/>
      <c r="L7" s="164"/>
      <c r="M7" s="164"/>
      <c r="N7" s="303"/>
      <c r="AC7" s="1260"/>
    </row>
    <row r="8" spans="4:29" ht="18" customHeight="1">
      <c r="E8" s="302"/>
      <c r="F8" s="164"/>
      <c r="G8" s="164"/>
      <c r="H8" s="164"/>
      <c r="I8" s="164"/>
      <c r="J8" s="164"/>
      <c r="K8" s="164"/>
      <c r="L8" s="164"/>
      <c r="M8" s="164"/>
      <c r="N8" s="303"/>
      <c r="AC8" s="1260"/>
    </row>
    <row r="9" spans="4:29" ht="18" customHeight="1">
      <c r="E9" s="302"/>
      <c r="N9" s="303"/>
      <c r="AC9" s="1260"/>
    </row>
    <row r="10" spans="4:29" ht="18" customHeight="1">
      <c r="E10" s="302"/>
      <c r="L10" s="164"/>
      <c r="M10" s="164"/>
      <c r="AC10" s="1260"/>
    </row>
    <row r="11" spans="4:29" ht="18" customHeight="1">
      <c r="E11" s="302"/>
      <c r="F11" s="2324" t="s">
        <v>4179</v>
      </c>
      <c r="G11" s="2324"/>
      <c r="H11" s="2324"/>
      <c r="I11" s="2324"/>
      <c r="J11" s="2324"/>
      <c r="K11" s="2324"/>
      <c r="L11" s="2324"/>
      <c r="M11" s="2324"/>
      <c r="N11" s="2324"/>
      <c r="AC11" s="1260"/>
    </row>
    <row r="12" spans="4:29" ht="33.75" customHeight="1">
      <c r="D12" s="304"/>
      <c r="E12" s="1261"/>
      <c r="F12" s="1277" t="s">
        <v>720</v>
      </c>
      <c r="G12" s="1277" t="s">
        <v>721</v>
      </c>
      <c r="H12" s="1278" t="s">
        <v>2564</v>
      </c>
      <c r="I12" s="2325" t="s">
        <v>3099</v>
      </c>
      <c r="J12" s="2325" t="s">
        <v>3100</v>
      </c>
      <c r="K12" s="1278" t="s">
        <v>2565</v>
      </c>
      <c r="L12" s="1278" t="s">
        <v>2566</v>
      </c>
      <c r="M12" s="1279" t="s">
        <v>3902</v>
      </c>
      <c r="P12" s="305"/>
      <c r="Q12" s="295"/>
      <c r="R12" s="295" t="s">
        <v>2003</v>
      </c>
      <c r="S12" s="295" t="s">
        <v>2004</v>
      </c>
      <c r="T12" s="295" t="s">
        <v>2005</v>
      </c>
      <c r="U12" s="295" t="s">
        <v>2006</v>
      </c>
      <c r="V12" s="295" t="s">
        <v>2007</v>
      </c>
      <c r="W12" s="295" t="s">
        <v>374</v>
      </c>
      <c r="X12" s="295" t="s">
        <v>2008</v>
      </c>
      <c r="Y12" s="295" t="s">
        <v>2009</v>
      </c>
      <c r="Z12" s="295" t="s">
        <v>2010</v>
      </c>
      <c r="AA12" s="295" t="s">
        <v>2011</v>
      </c>
      <c r="AC12" s="1260"/>
    </row>
    <row r="13" spans="4:29" ht="18" customHeight="1">
      <c r="D13" s="304"/>
      <c r="E13" s="1261"/>
      <c r="F13" s="1280">
        <v>1</v>
      </c>
      <c r="G13" s="1280">
        <v>2</v>
      </c>
      <c r="H13" s="1280">
        <v>3</v>
      </c>
      <c r="I13" s="2325"/>
      <c r="J13" s="2325"/>
      <c r="K13" s="1280">
        <v>4</v>
      </c>
      <c r="L13" s="1280">
        <v>5</v>
      </c>
      <c r="M13" s="1280">
        <v>5</v>
      </c>
      <c r="P13" s="305"/>
      <c r="Q13" s="295">
        <v>2025</v>
      </c>
      <c r="R13" s="306">
        <f>K14</f>
        <v>6151.0440000000008</v>
      </c>
      <c r="S13" s="306">
        <f>K15</f>
        <v>24164.255000000001</v>
      </c>
      <c r="T13" s="306">
        <f>K16</f>
        <v>1836.4610000000002</v>
      </c>
      <c r="U13" s="306">
        <f>K17</f>
        <v>2237.616</v>
      </c>
      <c r="V13" s="306">
        <f>K18</f>
        <v>669.02500000000009</v>
      </c>
      <c r="W13" s="306">
        <f>K19</f>
        <v>17768.544000000002</v>
      </c>
      <c r="X13" s="306">
        <f>K20</f>
        <v>1793.8367319999998</v>
      </c>
      <c r="Y13" s="306">
        <f>K21</f>
        <v>5170.3639999999996</v>
      </c>
      <c r="Z13" s="306">
        <f>K22</f>
        <v>2876.6927000000001</v>
      </c>
      <c r="AA13" s="306">
        <f>K23</f>
        <v>8928.0960000000014</v>
      </c>
      <c r="AC13" s="1260"/>
    </row>
    <row r="14" spans="4:29" ht="18" customHeight="1">
      <c r="D14" s="304"/>
      <c r="E14" s="1261"/>
      <c r="F14" s="1281">
        <v>1</v>
      </c>
      <c r="G14" s="1275" t="s">
        <v>1764</v>
      </c>
      <c r="H14" s="1282">
        <f>SUM('1 programa '!H208)</f>
        <v>5799.304000000001</v>
      </c>
      <c r="I14" s="1283">
        <f t="shared" ref="I14:I24" si="0">K14/H14-1</f>
        <v>6.0652105838907566E-2</v>
      </c>
      <c r="J14" s="1284">
        <f>SUM('1 programa '!J208)</f>
        <v>6358.1909999999998</v>
      </c>
      <c r="K14" s="1282">
        <f>SUM('1 programa '!K208)</f>
        <v>6151.0440000000008</v>
      </c>
      <c r="L14" s="1282">
        <f>SUM('1 programa '!L208)</f>
        <v>5855.1740000000009</v>
      </c>
      <c r="M14" s="1282">
        <f>SUM('1 programa '!M208)</f>
        <v>6053.8639999999978</v>
      </c>
      <c r="N14" s="1250">
        <f>H14-'Suvestinė pagal FŠ'!AY7</f>
        <v>-254.55999999999858</v>
      </c>
      <c r="P14" s="1251"/>
      <c r="Q14" s="295">
        <v>2026</v>
      </c>
      <c r="R14" s="306">
        <f>L14</f>
        <v>5855.1740000000009</v>
      </c>
      <c r="S14" s="306">
        <f>L15</f>
        <v>21471.922000000002</v>
      </c>
      <c r="T14" s="306">
        <f>L16</f>
        <v>1635.1330000000003</v>
      </c>
      <c r="U14" s="306">
        <f>L17</f>
        <v>2156.1549999999997</v>
      </c>
      <c r="V14" s="306">
        <f>K18</f>
        <v>669.02500000000009</v>
      </c>
      <c r="W14" s="306">
        <f>L19</f>
        <v>18263.949999999997</v>
      </c>
      <c r="X14" s="306">
        <f>L20</f>
        <v>770.04600000000005</v>
      </c>
      <c r="Y14" s="306">
        <f>L21</f>
        <v>5668.4749999999995</v>
      </c>
      <c r="Z14" s="306">
        <f>L22</f>
        <v>5654.4358400000001</v>
      </c>
      <c r="AA14" s="306">
        <f>L23</f>
        <v>8676.18</v>
      </c>
      <c r="AC14" s="1260"/>
    </row>
    <row r="15" spans="4:29" ht="18" customHeight="1">
      <c r="D15" s="304"/>
      <c r="E15" s="1261"/>
      <c r="F15" s="1281">
        <v>2</v>
      </c>
      <c r="G15" s="1275" t="s">
        <v>3093</v>
      </c>
      <c r="H15" s="1282">
        <f>'2 programa '!H351</f>
        <v>21438.918999999998</v>
      </c>
      <c r="I15" s="1283">
        <f t="shared" si="0"/>
        <v>0.12712096164923259</v>
      </c>
      <c r="J15" s="1284">
        <f>'2 programa '!J351</f>
        <v>11458.420999999998</v>
      </c>
      <c r="K15" s="1282">
        <f>'2 programa '!K351</f>
        <v>24164.255000000001</v>
      </c>
      <c r="L15" s="1282">
        <f>'2 programa '!L351</f>
        <v>21471.922000000002</v>
      </c>
      <c r="M15" s="1282">
        <f>'2 programa '!M351</f>
        <v>21560.868000000002</v>
      </c>
      <c r="N15" s="1250">
        <f>H15-'Suvestinė pagal FŠ'!AY10</f>
        <v>-121.94900000000416</v>
      </c>
      <c r="P15" s="1251"/>
      <c r="Q15" s="295">
        <v>2027</v>
      </c>
      <c r="R15" s="306">
        <f>M14</f>
        <v>6053.8639999999978</v>
      </c>
      <c r="S15" s="306">
        <f>M15</f>
        <v>21560.868000000002</v>
      </c>
      <c r="T15" s="306">
        <f>M16</f>
        <v>1632.204</v>
      </c>
      <c r="U15" s="306">
        <f>M17</f>
        <v>2220.3359999999998</v>
      </c>
      <c r="V15" s="306">
        <f>M18</f>
        <v>393.31600000000003</v>
      </c>
      <c r="W15" s="306">
        <f>M19</f>
        <v>16102.692999999999</v>
      </c>
      <c r="X15" s="306">
        <f>M20</f>
        <v>405.98859800000008</v>
      </c>
      <c r="Y15" s="306">
        <f>M21</f>
        <v>4812.3369999999995</v>
      </c>
      <c r="Z15" s="306">
        <f>M22</f>
        <v>4854.4130000000005</v>
      </c>
      <c r="AA15" s="306">
        <f>M23</f>
        <v>8641.4529999999995</v>
      </c>
      <c r="AC15" s="1260"/>
    </row>
    <row r="16" spans="4:29" ht="18" customHeight="1">
      <c r="D16" s="304"/>
      <c r="E16" s="1261"/>
      <c r="F16" s="1281">
        <v>3</v>
      </c>
      <c r="G16" s="1275" t="s">
        <v>1960</v>
      </c>
      <c r="H16" s="1282">
        <f>'3 programa'!H79</f>
        <v>1600.8449999999998</v>
      </c>
      <c r="I16" s="1283">
        <f t="shared" si="0"/>
        <v>0.14718226936399237</v>
      </c>
      <c r="J16" s="1284">
        <f>'3 programa'!J79</f>
        <v>197.5</v>
      </c>
      <c r="K16" s="1282">
        <f>'3 programa'!K79</f>
        <v>1836.4610000000002</v>
      </c>
      <c r="L16" s="1282">
        <f>'3 programa'!L79</f>
        <v>1635.1330000000003</v>
      </c>
      <c r="M16" s="1282">
        <f>'3 programa'!M79</f>
        <v>1632.204</v>
      </c>
      <c r="N16" s="1250">
        <f>H16-'Suvestinė pagal FŠ'!AY13</f>
        <v>-31.359000000000151</v>
      </c>
      <c r="P16" s="1251"/>
      <c r="Q16" s="295"/>
      <c r="R16" s="295"/>
      <c r="S16" s="295"/>
      <c r="T16" s="306"/>
      <c r="U16" s="295"/>
      <c r="V16" s="306"/>
      <c r="W16" s="295"/>
      <c r="X16" s="306"/>
      <c r="Y16" s="295"/>
      <c r="Z16" s="306"/>
      <c r="AA16" s="295"/>
      <c r="AC16" s="1260"/>
    </row>
    <row r="17" spans="4:31" ht="23.25" customHeight="1">
      <c r="D17" s="304"/>
      <c r="E17" s="1261"/>
      <c r="F17" s="1281">
        <v>4</v>
      </c>
      <c r="G17" s="1275" t="s">
        <v>1961</v>
      </c>
      <c r="H17" s="1282">
        <f>'4 programa'!H124</f>
        <v>2002.1569999999999</v>
      </c>
      <c r="I17" s="1283">
        <f t="shared" si="0"/>
        <v>0.11760266552523113</v>
      </c>
      <c r="J17" s="1284">
        <f>'4 programa'!J124</f>
        <v>1981.18</v>
      </c>
      <c r="K17" s="1282">
        <f>'4 programa'!K124</f>
        <v>2237.616</v>
      </c>
      <c r="L17" s="1282">
        <f>'4 programa'!L124</f>
        <v>2156.1549999999997</v>
      </c>
      <c r="M17" s="1282">
        <f>'4 programa'!M124</f>
        <v>2220.3359999999998</v>
      </c>
      <c r="N17" s="1250">
        <f>H17-'Suvestinė pagal FŠ'!AY16</f>
        <v>-218.17899999999986</v>
      </c>
      <c r="AC17" s="1260"/>
    </row>
    <row r="18" spans="4:31" ht="18" customHeight="1">
      <c r="D18" s="304"/>
      <c r="E18" s="1261"/>
      <c r="F18" s="1281">
        <v>5</v>
      </c>
      <c r="G18" s="1275" t="s">
        <v>1962</v>
      </c>
      <c r="H18" s="1282">
        <f>'5 programa'!H85</f>
        <v>331.95600000000002</v>
      </c>
      <c r="I18" s="1283">
        <f t="shared" si="0"/>
        <v>1.015402643723867</v>
      </c>
      <c r="J18" s="1284">
        <f>'5 programa'!J85</f>
        <v>792</v>
      </c>
      <c r="K18" s="1282">
        <f>'5 programa'!K85</f>
        <v>669.02500000000009</v>
      </c>
      <c r="L18" s="1282">
        <f>'5 programa'!L85</f>
        <v>616.57600000000002</v>
      </c>
      <c r="M18" s="1282">
        <f>'5 programa'!M85</f>
        <v>393.31600000000003</v>
      </c>
      <c r="N18" s="1250">
        <f>H18-'Suvestinė pagal FŠ'!AY19</f>
        <v>-61.359999999999957</v>
      </c>
      <c r="T18" s="307"/>
      <c r="AC18" s="1260"/>
    </row>
    <row r="19" spans="4:31" ht="18" customHeight="1">
      <c r="D19" s="304"/>
      <c r="E19" s="1261"/>
      <c r="F19" s="1281">
        <v>6</v>
      </c>
      <c r="G19" s="1281" t="s">
        <v>1963</v>
      </c>
      <c r="H19" s="1282">
        <f>'6 programa'!H285</f>
        <v>14477.561999999998</v>
      </c>
      <c r="I19" s="1283">
        <f t="shared" si="0"/>
        <v>0.22731603566954184</v>
      </c>
      <c r="J19" s="1284">
        <f>'6 programa'!J285</f>
        <v>16758.780999999999</v>
      </c>
      <c r="K19" s="1282">
        <f>'6 programa'!K285</f>
        <v>17768.544000000002</v>
      </c>
      <c r="L19" s="1282">
        <f>'6 programa'!L285</f>
        <v>18263.949999999997</v>
      </c>
      <c r="M19" s="1282">
        <f>'6 programa'!M285</f>
        <v>16102.692999999999</v>
      </c>
      <c r="N19" s="1250">
        <f>H19-'Suvestinė pagal FŠ'!AY22</f>
        <v>-1852.7260000000024</v>
      </c>
      <c r="AC19" s="1260"/>
    </row>
    <row r="20" spans="4:31" ht="21" customHeight="1">
      <c r="D20" s="304"/>
      <c r="E20" s="1261"/>
      <c r="F20" s="1281">
        <v>7</v>
      </c>
      <c r="G20" s="1275" t="s">
        <v>1964</v>
      </c>
      <c r="H20" s="1282">
        <f>'7 programa'!H166</f>
        <v>893.41600000000017</v>
      </c>
      <c r="I20" s="1283">
        <f t="shared" si="0"/>
        <v>1.0078403923815999</v>
      </c>
      <c r="J20" s="1284">
        <f>'7 programa'!J166</f>
        <v>1621.9134640000002</v>
      </c>
      <c r="K20" s="1282">
        <f>'7 programa'!K166</f>
        <v>1793.8367319999998</v>
      </c>
      <c r="L20" s="1282">
        <f>'7 programa'!L166</f>
        <v>770.04600000000005</v>
      </c>
      <c r="M20" s="1282">
        <f>'7 programa'!M166</f>
        <v>405.98859800000008</v>
      </c>
      <c r="N20" s="1250">
        <f>H20-'Suvestinė pagal FŠ'!AY25</f>
        <v>487.42740200000014</v>
      </c>
      <c r="P20" s="308"/>
      <c r="S20" s="308"/>
      <c r="T20" s="308"/>
      <c r="AC20" s="1260"/>
    </row>
    <row r="21" spans="4:31" ht="18" customHeight="1">
      <c r="D21" s="304"/>
      <c r="E21" s="1261"/>
      <c r="F21" s="1281">
        <v>8</v>
      </c>
      <c r="G21" s="1275" t="s">
        <v>1965</v>
      </c>
      <c r="H21" s="1282">
        <f>'8 programa'!H164</f>
        <v>4399.3050000000012</v>
      </c>
      <c r="I21" s="1283">
        <f t="shared" si="0"/>
        <v>0.17526836625330544</v>
      </c>
      <c r="J21" s="1284">
        <f>'8 programa'!J164</f>
        <v>4476.9369999999999</v>
      </c>
      <c r="K21" s="1282">
        <f>'8 programa'!K164</f>
        <v>5170.3639999999996</v>
      </c>
      <c r="L21" s="1282">
        <f>'8 programa'!L164</f>
        <v>5668.4749999999995</v>
      </c>
      <c r="M21" s="1282">
        <f>'8 programa'!M164</f>
        <v>4812.3369999999995</v>
      </c>
      <c r="N21" s="1250">
        <f>H21-'Suvestinė pagal FŠ'!AY28</f>
        <v>-411.03199999999833</v>
      </c>
      <c r="AC21" s="1260"/>
    </row>
    <row r="22" spans="4:31" ht="18" customHeight="1">
      <c r="D22" s="304"/>
      <c r="E22" s="1261"/>
      <c r="F22" s="1281">
        <v>9</v>
      </c>
      <c r="G22" s="1275" t="s">
        <v>1966</v>
      </c>
      <c r="H22" s="1282">
        <f>SUM('9 programa'!E199)</f>
        <v>2019.7590000000002</v>
      </c>
      <c r="I22" s="1283">
        <f t="shared" si="0"/>
        <v>0.4242752229350133</v>
      </c>
      <c r="J22" s="1284">
        <f>SUM('9 programa'!G199)</f>
        <v>2169.125</v>
      </c>
      <c r="K22" s="1282">
        <f>SUM('9 programa'!H199)</f>
        <v>2876.6927000000001</v>
      </c>
      <c r="L22" s="1282">
        <f>SUM('9 programa'!I199)</f>
        <v>5654.4358400000001</v>
      </c>
      <c r="M22" s="1282">
        <f>SUM('9 programa'!J199)</f>
        <v>4854.4130000000005</v>
      </c>
      <c r="N22" s="1252">
        <f>H22-'Suvestinė pagal FŠ'!AY31</f>
        <v>-2825.5339999999997</v>
      </c>
      <c r="Q22" s="308"/>
      <c r="AC22" s="1260"/>
    </row>
    <row r="23" spans="4:31" ht="18" customHeight="1">
      <c r="D23" s="304"/>
      <c r="E23" s="1261"/>
      <c r="F23" s="1281">
        <v>10</v>
      </c>
      <c r="G23" s="1275" t="s">
        <v>1967</v>
      </c>
      <c r="H23" s="1282">
        <f>'10 programa'!H265</f>
        <v>5584.18</v>
      </c>
      <c r="I23" s="1283">
        <f t="shared" si="0"/>
        <v>0.5988195222933359</v>
      </c>
      <c r="J23" s="1284">
        <f>'10 programa'!J265</f>
        <v>7280.2710000000006</v>
      </c>
      <c r="K23" s="1282">
        <f>'10 programa'!K265</f>
        <v>8928.0960000000014</v>
      </c>
      <c r="L23" s="1282">
        <f>'10 programa'!L265</f>
        <v>8676.18</v>
      </c>
      <c r="M23" s="1282">
        <f>'10 programa'!M265</f>
        <v>8641.4529999999995</v>
      </c>
      <c r="N23" s="1250">
        <f>H23-'Suvestinė pagal FŠ'!AY34</f>
        <v>-2671.1649999999991</v>
      </c>
      <c r="Q23" s="308"/>
      <c r="AC23" s="1260"/>
    </row>
    <row r="24" spans="4:31" ht="18" customHeight="1">
      <c r="D24" s="304"/>
      <c r="E24" s="1261"/>
      <c r="F24" s="1281"/>
      <c r="G24" s="1272" t="s">
        <v>1076</v>
      </c>
      <c r="H24" s="1285">
        <f>SUM(H14:H23)</f>
        <v>58547.402999999991</v>
      </c>
      <c r="I24" s="1283">
        <f t="shared" si="0"/>
        <v>0.22287122508234947</v>
      </c>
      <c r="J24" s="1286">
        <f>SUM(J14:J23)</f>
        <v>53094.319463999993</v>
      </c>
      <c r="K24" s="1285">
        <f>SUM(K14:K23)</f>
        <v>71595.934432000009</v>
      </c>
      <c r="L24" s="1285">
        <f t="shared" ref="L24:M24" si="1">SUM(L14:L23)</f>
        <v>70768.046839999995</v>
      </c>
      <c r="M24" s="1285">
        <f t="shared" si="1"/>
        <v>66677.472598000008</v>
      </c>
      <c r="N24" s="1250"/>
      <c r="Q24" s="308"/>
      <c r="AC24" s="1260"/>
    </row>
    <row r="25" spans="4:31" ht="18" customHeight="1">
      <c r="D25" s="304"/>
      <c r="E25" s="1261"/>
      <c r="F25" s="2323" t="s">
        <v>722</v>
      </c>
      <c r="G25" s="2323"/>
      <c r="H25" s="1287">
        <f>SUM(H27,H29,H34,H35,H36,H37,)</f>
        <v>51655.081000000006</v>
      </c>
      <c r="I25" s="1287"/>
      <c r="J25" s="1288">
        <f t="shared" ref="J25" si="2">SUM(J27,J29,J34,J35,J36,J37,)</f>
        <v>45531.428464000004</v>
      </c>
      <c r="K25" s="1287">
        <f>SUM(K27,K29,K34,K35,K36,K37,)</f>
        <v>64053.043432000006</v>
      </c>
      <c r="L25" s="1287">
        <f t="shared" ref="L25:M25" si="3">SUM(L27,L29,L34,L35,L36,L37,)</f>
        <v>63233.076839999994</v>
      </c>
      <c r="M25" s="1287">
        <f t="shared" si="3"/>
        <v>59142.502597999992</v>
      </c>
      <c r="Q25" s="308"/>
      <c r="AC25" s="1260"/>
    </row>
    <row r="26" spans="4:31" ht="18" customHeight="1">
      <c r="D26" s="304"/>
      <c r="E26" s="1261"/>
      <c r="F26" s="2302" t="s">
        <v>723</v>
      </c>
      <c r="G26" s="2302"/>
      <c r="H26" s="1267"/>
      <c r="I26" s="1267"/>
      <c r="J26" s="1289"/>
      <c r="K26" s="1267"/>
      <c r="L26" s="1267"/>
      <c r="M26" s="1267"/>
      <c r="O26" s="308"/>
      <c r="P26" s="926" t="s">
        <v>4067</v>
      </c>
      <c r="Q26" s="926" t="s">
        <v>4069</v>
      </c>
      <c r="AC26" s="1260"/>
      <c r="AE26" s="308"/>
    </row>
    <row r="27" spans="4:31" ht="21" customHeight="1">
      <c r="D27" s="304"/>
      <c r="E27" s="1261"/>
      <c r="F27" s="2302" t="s">
        <v>4142</v>
      </c>
      <c r="G27" s="2302"/>
      <c r="H27" s="1268">
        <f>SUM('1 programa '!H199,'2 programa '!H341,'3 programa'!H71,'4 programa'!H116,'5 programa'!H78,'6 programa'!H276,'7 programa'!H157,'8 programa'!H155,'9 programa'!E190,'10 programa'!H258)</f>
        <v>26581.185000000005</v>
      </c>
      <c r="I27" s="1290">
        <f>K27/H27-1</f>
        <v>0.10295033874524373</v>
      </c>
      <c r="J27" s="1291">
        <f>SUM('1 programa '!J199,'2 programa '!J341,'3 programa'!J71,'4 programa'!J116,'5 programa'!J78,'6 programa'!J276,'7 programa'!J157,'8 programa'!J155,'9 programa'!G190,'10 programa'!J258)</f>
        <v>29748.339732</v>
      </c>
      <c r="K27" s="1268">
        <f>SUM('1 programa '!K199,'2 programa '!K341,'3 programa'!K71,'4 programa'!K116,'5 programa'!K78,'6 programa'!K276,'7 programa'!K157,'8 programa'!K155,'9 programa'!H190,'10 programa'!K258)</f>
        <v>29317.726999999999</v>
      </c>
      <c r="L27" s="1268">
        <f>SUM('1 programa '!L199,'2 programa '!L341,'3 programa'!L71,'4 programa'!L116,'5 programa'!L78,'6 programa'!L276,'7 programa'!L157,'8 programa'!L155,'9 programa'!I190,'10 programa'!L258)</f>
        <v>31912.069999999996</v>
      </c>
      <c r="M27" s="1268">
        <f>SUM('1 programa '!M199,'2 programa '!M341,'3 programa'!M71,'4 programa'!M116,'5 programa'!M78,'6 programa'!M276,'7 programa'!M157,'8 programa'!M155,'9 programa'!J190,'10 programa'!M258)</f>
        <v>32723.05999999999</v>
      </c>
      <c r="N27" s="1253"/>
      <c r="O27" s="308">
        <f>H27+H34</f>
        <v>28131.185000000005</v>
      </c>
      <c r="P27" s="927">
        <v>38159.614999999998</v>
      </c>
      <c r="Q27" s="927">
        <f>K27+K34+K36+K37</f>
        <v>38778.341999999997</v>
      </c>
      <c r="R27" s="308"/>
      <c r="AC27" s="1260"/>
      <c r="AE27" s="308"/>
    </row>
    <row r="28" spans="4:31" ht="18" customHeight="1">
      <c r="D28" s="304"/>
      <c r="E28" s="1261"/>
      <c r="F28" s="2322" t="s">
        <v>4144</v>
      </c>
      <c r="G28" s="2322"/>
      <c r="H28" s="1271">
        <f>'7 programa'!H158+'8 programa'!H156</f>
        <v>58</v>
      </c>
      <c r="I28" s="1292">
        <f>K28/H28-1</f>
        <v>1.2125344827586209</v>
      </c>
      <c r="J28" s="1293"/>
      <c r="K28" s="1271">
        <f>SUM('7 programa'!K158,'7 programa'!K159,'8 programa'!K156,'8 programa'!K157,)</f>
        <v>128.327</v>
      </c>
      <c r="L28" s="1271">
        <f>SUM('7 programa'!L158,'7 programa'!L159,'8 programa'!L156,'8 programa'!L157,)</f>
        <v>58</v>
      </c>
      <c r="M28" s="1271">
        <f>SUM('7 programa'!M158,'7 programa'!M159,'8 programa'!M156,'8 programa'!M157,)</f>
        <v>58</v>
      </c>
      <c r="P28" s="928">
        <f>Q27-P27</f>
        <v>618.72699999999895</v>
      </c>
      <c r="Q28" s="929">
        <f>P28-K28</f>
        <v>490.39999999999895</v>
      </c>
      <c r="R28" s="308"/>
      <c r="AC28" s="1260"/>
    </row>
    <row r="29" spans="4:31" ht="18" customHeight="1">
      <c r="D29" s="304"/>
      <c r="E29" s="1261"/>
      <c r="F29" s="2302" t="s">
        <v>4143</v>
      </c>
      <c r="G29" s="2302"/>
      <c r="H29" s="1269">
        <f>SUM('1 programa '!H200,,'2 programa '!H342,'3 programa'!H72,'4 programa'!H117,'5 programa'!H79,'6 programa'!H277,'7 programa'!H160,'8 programa'!H158,'9 programa'!E191,'10 programa'!H259)</f>
        <v>13182.072000000002</v>
      </c>
      <c r="I29" s="1273">
        <f>K29/H29-1</f>
        <v>0.18327847094144234</v>
      </c>
      <c r="J29" s="1269">
        <f>SUM('1 programa '!J200,,'2 programa '!J342,'3 programa'!J72,'4 programa'!J117,'5 programa'!J79,'6 programa'!J277,'7 programa'!J160,'8 programa'!J158,'9 programa'!G191,'10 programa'!J259)</f>
        <v>3321.3269999999998</v>
      </c>
      <c r="K29" s="1269">
        <f>SUM('1 programa '!K200,,'2 programa '!K342,'3 programa'!K72,'4 programa'!K117,'5 programa'!K79,'6 programa'!K277,'7 programa'!K160,'8 programa'!K158,'9 programa'!H191,'10 programa'!K259)</f>
        <v>15598.062000000002</v>
      </c>
      <c r="L29" s="1269">
        <f>SUM('1 programa '!L200,,'2 programa '!L342,'3 programa'!L72,'4 programa'!L117,'5 programa'!L79,'6 programa'!L277,'7 programa'!L160,'8 programa'!L158,'9 programa'!I191,'10 programa'!L259)</f>
        <v>15981.689000000002</v>
      </c>
      <c r="M29" s="1269">
        <f>SUM('1 programa '!M200,,'2 programa '!M342,'3 programa'!M72,'4 programa'!M117,'5 programa'!M79,'6 programa'!M277,'7 programa'!M160,'8 programa'!M158,'9 programa'!J191,'10 programa'!M259)</f>
        <v>16605.389000000003</v>
      </c>
      <c r="P29" s="308"/>
      <c r="Q29" s="308"/>
      <c r="R29" s="308"/>
      <c r="AC29" s="1260"/>
      <c r="AE29" s="308"/>
    </row>
    <row r="30" spans="4:31" ht="21" customHeight="1">
      <c r="D30" s="304"/>
      <c r="E30" s="1261"/>
      <c r="F30" s="2322" t="s">
        <v>4145</v>
      </c>
      <c r="G30" s="2322"/>
      <c r="H30" s="1270"/>
      <c r="I30" s="1294"/>
      <c r="J30" s="1295"/>
      <c r="K30" s="1270">
        <f>SUM('1 programa '!K201,'6 programa'!K278,'7 programa'!K160,'9 programa'!H192,)</f>
        <v>2617.127</v>
      </c>
      <c r="L30" s="1270">
        <f>SUM('1 programa '!L201,'6 programa'!L278,'7 programa'!L160,'9 programa'!I192,)</f>
        <v>2620.8269999999998</v>
      </c>
      <c r="M30" s="1270">
        <f>SUM('1 programa '!M201,'6 programa'!M278,'7 programa'!M160,'9 programa'!J192,)</f>
        <v>2624.527</v>
      </c>
      <c r="P30" s="308"/>
      <c r="Q30" s="308"/>
      <c r="R30" s="308"/>
      <c r="AC30" s="1260"/>
      <c r="AE30" s="308"/>
    </row>
    <row r="31" spans="4:31" ht="18" customHeight="1">
      <c r="D31" s="304"/>
      <c r="E31" s="1261"/>
      <c r="F31" s="2322" t="s">
        <v>4070</v>
      </c>
      <c r="G31" s="2322"/>
      <c r="H31" s="1270"/>
      <c r="I31" s="1294"/>
      <c r="J31" s="1295"/>
      <c r="K31" s="1270">
        <f>SUM('2 programa '!K343,'3 programa'!K73)</f>
        <v>10540</v>
      </c>
      <c r="L31" s="1270">
        <f>SUM('2 programa '!L343,'3 programa'!L73)</f>
        <v>11187</v>
      </c>
      <c r="M31" s="1270">
        <f>SUM('2 programa '!M343,'3 programa'!M73)</f>
        <v>11807.000000000002</v>
      </c>
      <c r="P31" s="930">
        <f>K30+K31+K32+K33</f>
        <v>15598.062000000002</v>
      </c>
      <c r="Q31" s="930">
        <f t="shared" ref="Q31:R31" si="4">L30+L31+L32+L33</f>
        <v>15981.689</v>
      </c>
      <c r="R31" s="930">
        <f t="shared" si="4"/>
        <v>16605.389000000003</v>
      </c>
      <c r="AC31" s="1260"/>
      <c r="AE31" s="308"/>
    </row>
    <row r="32" spans="4:31" ht="42.75" customHeight="1">
      <c r="D32" s="304"/>
      <c r="E32" s="1261"/>
      <c r="F32" s="2322" t="s">
        <v>4146</v>
      </c>
      <c r="G32" s="2322"/>
      <c r="H32" s="1270"/>
      <c r="I32" s="1294"/>
      <c r="J32" s="1295"/>
      <c r="K32" s="1270">
        <f>SUM('2 programa '!K344)</f>
        <v>40.200000000000003</v>
      </c>
      <c r="L32" s="1270">
        <f>SUM('2 programa '!L344)</f>
        <v>40.200000000000003</v>
      </c>
      <c r="M32" s="1270">
        <f>SUM('2 programa '!M344)</f>
        <v>40.200000000000003</v>
      </c>
      <c r="P32" s="308"/>
      <c r="Q32" s="308"/>
      <c r="R32" s="308"/>
      <c r="U32" s="308"/>
      <c r="AC32" s="1260"/>
      <c r="AE32" s="308"/>
    </row>
    <row r="33" spans="4:32" ht="18" customHeight="1">
      <c r="D33" s="304"/>
      <c r="E33" s="1261"/>
      <c r="F33" s="2322" t="s">
        <v>4147</v>
      </c>
      <c r="G33" s="2322"/>
      <c r="H33" s="1270"/>
      <c r="I33" s="1294"/>
      <c r="J33" s="1295"/>
      <c r="K33" s="1270">
        <f>SUM('1 programa '!K202,'2 programa '!K345,'4 programa'!K117,'5 programa'!K79,'6 programa'!K279,'9 programa'!H193,'10 programa'!K259)</f>
        <v>2400.7349999999997</v>
      </c>
      <c r="L33" s="1270">
        <f>SUM('1 programa '!L202,'2 programa '!L345,'4 programa'!L117,'5 programa'!L79,'6 programa'!L279,'9 programa'!I193,'10 programa'!L259)</f>
        <v>2133.6620000000003</v>
      </c>
      <c r="M33" s="1270">
        <f>SUM('1 programa '!M202,'2 programa '!M345,'4 programa'!M117,'5 programa'!M79,'6 programa'!M279,'9 programa'!J193,'10 programa'!M259)</f>
        <v>2133.6620000000003</v>
      </c>
      <c r="P33" s="308"/>
      <c r="Q33" s="308"/>
      <c r="R33" s="308"/>
      <c r="AC33" s="1260"/>
      <c r="AE33" s="308"/>
    </row>
    <row r="34" spans="4:32" ht="25.5" customHeight="1">
      <c r="D34" s="304"/>
      <c r="E34" s="1261"/>
      <c r="F34" s="2302" t="s">
        <v>725</v>
      </c>
      <c r="G34" s="2302"/>
      <c r="H34" s="1269">
        <f>SUM('1 programa '!H203,'2 programa '!H346,'3 programa'!H74,'4 programa'!H119,'5 programa'!H80,'6 programa'!H280,'7 programa'!H161,'8 programa'!H159,'9 programa'!E194,'10 programa'!H260)</f>
        <v>1550.0000000000002</v>
      </c>
      <c r="I34" s="1273">
        <f t="shared" ref="I34:I40" si="5">K34/H34-1</f>
        <v>0.12055161290322558</v>
      </c>
      <c r="J34" s="1274">
        <f>SUM('1 programa '!J203,'2 programa '!J346,'3 programa'!J74,'4 programa'!J119,'5 programa'!J80,'6 programa'!J280,'7 programa'!J161,'8 programa'!J159,'9 programa'!G194,'10 programa'!J260)</f>
        <v>969.84300000000007</v>
      </c>
      <c r="K34" s="1269">
        <f>SUM('1 programa '!K203,'2 programa '!K346,'3 programa'!K74,'4 programa'!K119,'5 programa'!K80,'6 programa'!K280,'7 programa'!K161,'8 programa'!K159,'9 programa'!H194,'10 programa'!K260)</f>
        <v>1736.855</v>
      </c>
      <c r="L34" s="1269">
        <f>SUM('1 programa '!L203,'2 programa '!L346,'3 programa'!L74,'4 programa'!L119,'5 programa'!L80,'6 programa'!L280,'7 programa'!L161,'8 programa'!L159,'9 programa'!I194,'10 programa'!L260)</f>
        <v>1795.5000000000002</v>
      </c>
      <c r="M34" s="1269">
        <f>SUM('1 programa '!M203,'2 programa '!M346,'3 programa'!M74,'4 programa'!M119,'5 programa'!M80,'6 programa'!M280,'7 programa'!M161,'8 programa'!M159,'9 programa'!J194,'10 programa'!M260)</f>
        <v>1905.9999999999998</v>
      </c>
      <c r="N34" s="1254" t="s">
        <v>2934</v>
      </c>
      <c r="O34" s="308">
        <f>H27+H34+H36+H37</f>
        <v>33835.091000000008</v>
      </c>
      <c r="P34" s="308"/>
      <c r="Q34" s="308"/>
      <c r="AC34" s="1260"/>
      <c r="AE34" s="308"/>
      <c r="AF34" s="308"/>
    </row>
    <row r="35" spans="4:32" ht="26.25" customHeight="1">
      <c r="D35" s="304"/>
      <c r="E35" s="1261"/>
      <c r="F35" s="2302" t="s">
        <v>1959</v>
      </c>
      <c r="G35" s="2302"/>
      <c r="H35" s="1269">
        <f>SUM('1 programa '!H204,'2 programa '!H347,'3 programa'!H75,'4 programa'!H120,'5 programa'!H81,'6 programa'!H281,'7 programa'!H162,'8 programa'!H160,'9 programa'!E195,'10 programa'!H261)</f>
        <v>4637.9179999999997</v>
      </c>
      <c r="I35" s="1273">
        <f t="shared" si="5"/>
        <v>1.0864188267235431</v>
      </c>
      <c r="J35" s="1274">
        <f>SUM('1 programa '!J204,'2 programa '!J347,'3 programa'!J75,'4 programa'!J120,'5 programa'!J81,'6 programa'!J281,'7 programa'!J162,'8 programa'!J160,'9 programa'!G195,'10 programa'!J261)</f>
        <v>9050.3027320000001</v>
      </c>
      <c r="K35" s="1269">
        <f>SUM('1 programa '!K204,'2 programa '!K347,'3 programa'!K75,'4 programa'!K120,'5 programa'!K81,'6 programa'!K281,'7 programa'!K162,'8 programa'!K160,'9 programa'!H195,'10 programa'!K261)</f>
        <v>9676.6394319999999</v>
      </c>
      <c r="L35" s="1269">
        <f>SUM('1 programa '!L204,'2 programa '!L347,'3 programa'!L75,'4 programa'!L120,'5 programa'!L81,'6 programa'!L281,'7 programa'!L162,'8 programa'!L160,'9 programa'!I195,'10 programa'!L261)</f>
        <v>11318.32784</v>
      </c>
      <c r="M35" s="1269">
        <f>SUM('1 programa '!M204,'2 programa '!M347,'3 programa'!M75,'4 programa'!M120,'5 programa'!M81,'6 programa'!M281,'7 programa'!M162,'8 programa'!M160,'9 programa'!J195,'10 programa'!M261)</f>
        <v>6587.9535980000001</v>
      </c>
      <c r="N35" s="1254"/>
      <c r="O35" s="308"/>
      <c r="P35" s="1255" t="s">
        <v>4073</v>
      </c>
      <c r="Q35" s="308" t="s">
        <v>4074</v>
      </c>
      <c r="AC35" s="1260"/>
      <c r="AE35" s="308"/>
      <c r="AF35" s="308"/>
    </row>
    <row r="36" spans="4:32" ht="18" customHeight="1">
      <c r="D36" s="304"/>
      <c r="E36" s="1261"/>
      <c r="F36" s="2302" t="s">
        <v>726</v>
      </c>
      <c r="G36" s="2302"/>
      <c r="H36" s="1269">
        <f>SUM('1 programa '!H205,'2 programa '!H348,'3 programa'!H76,'4 programa'!H121,'5 programa'!H82,'6 programa'!H282,'7 programa'!H163,'8 programa'!H161,'9 programa'!E196,'10 programa'!H262)</f>
        <v>325.05700000000002</v>
      </c>
      <c r="I36" s="1273">
        <f t="shared" si="5"/>
        <v>-0.91936798776829909</v>
      </c>
      <c r="J36" s="1274">
        <f>SUM('1 programa '!J205,'2 programa '!J348,'3 programa'!J76,'4 programa'!J121,'5 programa'!J82,'6 programa'!J282,'7 programa'!J163,'8 programa'!J161,'9 programa'!G196,'10 programa'!J262)</f>
        <v>26.213999999999999</v>
      </c>
      <c r="K36" s="1269">
        <f>SUM('1 programa '!K205,'2 programa '!K348,'3 programa'!K76,'4 programa'!K121,'5 programa'!K82,'6 programa'!K282,'7 programa'!K163,'8 programa'!K161,'9 programa'!H196,'10 programa'!K262)</f>
        <v>26.21</v>
      </c>
      <c r="L36" s="1269">
        <f>SUM('1 programa '!L205,'2 programa '!L348,'3 programa'!L76,'4 programa'!L121,'5 programa'!L82,'6 programa'!L282,'7 programa'!L163,'8 programa'!L161,'9 programa'!I196,'10 programa'!L262)</f>
        <v>1306.9699999999998</v>
      </c>
      <c r="M36" s="1269">
        <f>SUM('1 programa '!M205,'2 programa '!M348,'3 programa'!M76,'4 programa'!M121,'5 programa'!M82,'6 programa'!M282,'7 programa'!M163,'8 programa'!M161,'9 programa'!J196,'10 programa'!M262)</f>
        <v>1320.1</v>
      </c>
      <c r="N36" s="1254"/>
      <c r="P36" s="308">
        <v>35425.06</v>
      </c>
      <c r="Q36" s="308">
        <f>SUM(L27,L34,L36,L37)</f>
        <v>35933.06</v>
      </c>
      <c r="R36" s="308"/>
      <c r="S36" s="308"/>
      <c r="AC36" s="1260"/>
    </row>
    <row r="37" spans="4:32" ht="20.25" customHeight="1">
      <c r="D37" s="304"/>
      <c r="E37" s="1261"/>
      <c r="F37" s="2302" t="s">
        <v>727</v>
      </c>
      <c r="G37" s="2302"/>
      <c r="H37" s="1269">
        <f>SUM('1 programa '!H206,'2 programa '!H349,'3 programa'!H77,'4 programa'!H122,'5 programa'!H83,'6 programa'!H283,'7 programa'!H164,'8 programa'!H162,'9 programa'!E197,'10 programa'!H263)</f>
        <v>5378.8490000000002</v>
      </c>
      <c r="I37" s="1273">
        <f t="shared" si="5"/>
        <v>0.43107754093859096</v>
      </c>
      <c r="J37" s="1274">
        <f>SUM('1 programa '!J206,'2 programa '!J349,'3 programa'!J77,'4 programa'!J122,'5 programa'!J83,'6 programa'!J283,'7 programa'!J164,'8 programa'!J162,'9 programa'!G197,'10 programa'!J263)</f>
        <v>2415.402</v>
      </c>
      <c r="K37" s="1269">
        <f>SUM('1 programa '!K206,'2 programa '!K349,'3 programa'!K77,'4 programa'!K122,'5 programa'!K83,'6 programa'!K283,'7 programa'!K164,'8 programa'!K162,'9 programa'!H197,'10 programa'!K263)</f>
        <v>7697.5499999999993</v>
      </c>
      <c r="L37" s="1269">
        <f>SUM('1 programa '!L206,'2 programa '!L349,'3 programa'!L77,'4 programa'!L122,'5 programa'!L83,'6 programa'!L283,'7 programa'!L164,'8 programa'!L162,'9 programa'!I197,'10 programa'!L263)</f>
        <v>918.5200000000001</v>
      </c>
      <c r="M37" s="1269">
        <f>SUM('1 programa '!M206,'2 programa '!M349,'3 programa'!M77,'4 programa'!M122,'5 programa'!M83,'6 programa'!M283,'7 programa'!M164,'8 programa'!M162,'9 programa'!J197,'10 programa'!M263)</f>
        <v>0</v>
      </c>
      <c r="O37" s="308">
        <f>H27+H34+H36+H37</f>
        <v>33835.091000000008</v>
      </c>
      <c r="P37" s="308">
        <f>Q36-P36</f>
        <v>508</v>
      </c>
      <c r="Q37" s="1256">
        <f>P37-L28</f>
        <v>450</v>
      </c>
      <c r="R37" s="308"/>
      <c r="S37" s="308"/>
      <c r="AC37" s="1260"/>
    </row>
    <row r="38" spans="4:32" ht="31.5" customHeight="1">
      <c r="D38" s="304"/>
      <c r="E38" s="1261"/>
      <c r="F38" s="2321" t="s">
        <v>728</v>
      </c>
      <c r="G38" s="2321"/>
      <c r="H38" s="1269">
        <f>SUM('1 programa '!H207,'2 programa '!H350,'3 programa'!H78,'4 programa'!H123,'5 programa'!H84,'6 programa'!H284,'7 programa'!H165,'8 programa'!H163,'9 programa'!E198,'10 programa'!H264)</f>
        <v>6892.3219999999992</v>
      </c>
      <c r="I38" s="1273">
        <f t="shared" si="5"/>
        <v>9.4390395573509478E-2</v>
      </c>
      <c r="J38" s="1274">
        <f>SUM('1 programa '!J207,'2 programa '!J350,'3 programa'!J78,'4 programa'!J123,'5 programa'!J84,'6 programa'!J284,'7 programa'!J165,'8 programa'!J163,'9 programa'!G198,'10 programa'!J264)</f>
        <v>7542.8910000000005</v>
      </c>
      <c r="K38" s="1269">
        <f>SUM('1 programa '!K207,'2 programa '!K350,'3 programa'!K78,'4 programa'!K123,'5 programa'!K84,'6 programa'!K284,'7 programa'!K165,'8 programa'!K163,'9 programa'!H198,'10 programa'!K264)</f>
        <v>7542.8910000000005</v>
      </c>
      <c r="L38" s="1269">
        <f>SUM('1 programa '!L207,'2 programa '!L350,'3 programa'!L78,'4 programa'!L123,'5 programa'!L84,'6 programa'!L284,'7 programa'!L165,'8 programa'!L163,'9 programa'!I198,'10 programa'!L264)</f>
        <v>7534.97</v>
      </c>
      <c r="M38" s="1269">
        <f>SUM('1 programa '!M207,'2 programa '!M350,'3 programa'!M78,'4 programa'!M123,'5 programa'!M84,'6 programa'!M284,'7 programa'!M165,'8 programa'!M163,'9 programa'!J198,'10 programa'!M264)</f>
        <v>7534.97</v>
      </c>
      <c r="N38" s="1254"/>
      <c r="O38" s="308">
        <f>O37-P37</f>
        <v>33327.091000000008</v>
      </c>
      <c r="P38" s="308"/>
      <c r="Q38" s="308"/>
      <c r="R38" s="308"/>
      <c r="AC38" s="1260"/>
    </row>
    <row r="39" spans="4:32" ht="24.75" customHeight="1">
      <c r="D39" s="304"/>
      <c r="E39" s="1261"/>
      <c r="F39" s="2302" t="s">
        <v>2567</v>
      </c>
      <c r="G39" s="2302"/>
      <c r="H39" s="1269">
        <f>SUM('1 programa '!H208,'2 programa '!H351,'3 programa'!H79,'4 programa'!H124,'5 programa'!H85,'6 programa'!H285,'7 programa'!H166,'8 programa'!H164,'9 programa'!E199,'10 programa'!H265)</f>
        <v>58547.402999999991</v>
      </c>
      <c r="I39" s="1273">
        <f t="shared" si="5"/>
        <v>0.22287122508234947</v>
      </c>
      <c r="J39" s="1274">
        <f>SUM('1 programa '!J208,'2 programa '!J351,'3 programa'!J79,'4 programa'!J124,'5 programa'!J85,'6 programa'!J285,'7 programa'!J166,'8 programa'!J164,'9 programa'!G199,'10 programa'!J265)</f>
        <v>53094.319463999993</v>
      </c>
      <c r="K39" s="1269">
        <f>SUM('1 programa '!K208,'2 programa '!K351,'3 programa'!K79,'4 programa'!K124,'5 programa'!K85,'6 programa'!K285,'7 programa'!K166,'8 programa'!K164,'9 programa'!H199,'10 programa'!K265)</f>
        <v>71595.934432000009</v>
      </c>
      <c r="L39" s="1269">
        <f>SUM('1 programa '!L208,'2 programa '!L351,'3 programa'!L79,'4 programa'!L124,'5 programa'!L85,'6 programa'!L285,'7 programa'!L166,'8 programa'!L164,'9 programa'!I199,'10 programa'!L265)</f>
        <v>70768.046839999995</v>
      </c>
      <c r="M39" s="1269">
        <f>SUM('1 programa '!M208,'2 programa '!M351,'3 programa'!M79,'4 programa'!M124,'5 programa'!M85,'6 programa'!M285,'7 programa'!M166,'8 programa'!M164,'9 programa'!J199,'10 programa'!M265)</f>
        <v>66677.472598000008</v>
      </c>
      <c r="N39" s="1254"/>
      <c r="O39" s="308">
        <f>O38-P38</f>
        <v>33327.091000000008</v>
      </c>
      <c r="P39" s="1255" t="s">
        <v>4075</v>
      </c>
      <c r="Q39" s="308" t="s">
        <v>4076</v>
      </c>
      <c r="AC39" s="1260"/>
    </row>
    <row r="40" spans="4:32" ht="22.5" customHeight="1">
      <c r="D40" s="304"/>
      <c r="E40" s="1261"/>
      <c r="F40" s="2302" t="s">
        <v>2907</v>
      </c>
      <c r="G40" s="2302"/>
      <c r="H40" s="1269">
        <f>SUM('1 programa '!H209,'2 programa '!H352,'3 programa'!H80,'4 programa'!H125,'5 programa'!H86,'6 programa'!H286,'7 programa'!H167,'8 programa'!H165,'9 programa'!E200,'10 programa'!H266)</f>
        <v>3553.578</v>
      </c>
      <c r="I40" s="1273">
        <f t="shared" si="5"/>
        <v>1.495475264648757</v>
      </c>
      <c r="J40" s="1274">
        <f>SUM('1 programa '!J209,'2 programa '!J352,'3 programa'!J80,'4 programa'!J125,'5 programa'!J86,'6 programa'!J286,'7 programa'!J167,'8 programa'!J165,'9 programa'!G200,'10 programa'!J266)</f>
        <v>9282.5760000000009</v>
      </c>
      <c r="K40" s="1269">
        <f>SUM('1 programa '!K209,'2 programa '!K352,'3 programa'!K80,'4 programa'!K125,'5 programa'!K86,'6 programa'!K286,'7 programa'!K167,'8 programa'!K165,'9 programa'!H200,'10 programa'!K266)</f>
        <v>8867.866</v>
      </c>
      <c r="L40" s="1269">
        <f>SUM('1 programa '!L209,'2 programa '!L352,'3 programa'!L80,'4 programa'!L125,'5 programa'!L86,'6 programa'!L286,'7 programa'!L167,'8 programa'!L165,'9 programa'!I200,'10 programa'!L266)</f>
        <v>10623.704</v>
      </c>
      <c r="M40" s="1269">
        <f>SUM('1 programa '!M209,'2 programa '!M352,'3 programa'!M80,'4 programa'!M125,'5 programa'!M86,'6 programa'!M286,'7 programa'!M167,'8 programa'!M165,'9 programa'!J200,'10 programa'!M266)</f>
        <v>5219.3789999999999</v>
      </c>
      <c r="P40" s="308">
        <v>35401.160000000003</v>
      </c>
      <c r="Q40" s="308">
        <f>SUM(M27,M34,M36,M37,)</f>
        <v>35949.159999999989</v>
      </c>
      <c r="R40" s="308"/>
      <c r="AC40" s="1260"/>
    </row>
    <row r="41" spans="4:32" ht="25.5" customHeight="1">
      <c r="D41" s="304"/>
      <c r="E41" s="1261"/>
      <c r="F41" s="2302" t="s">
        <v>729</v>
      </c>
      <c r="G41" s="2302"/>
      <c r="H41" s="1276"/>
      <c r="I41" s="1276"/>
      <c r="J41" s="1276"/>
      <c r="K41" s="1276">
        <f>K39/H39-1</f>
        <v>0.22287122508234947</v>
      </c>
      <c r="L41" s="1276">
        <f>L39/K39-1</f>
        <v>-1.1563332451318464E-2</v>
      </c>
      <c r="M41" s="1276">
        <f>M39/L39-1</f>
        <v>-5.7802559554150146E-2</v>
      </c>
      <c r="P41" s="308">
        <f>Q40-P40</f>
        <v>547.99999999998545</v>
      </c>
      <c r="Q41" s="1257">
        <f>P41-M28</f>
        <v>489.99999999998545</v>
      </c>
      <c r="AC41" s="1260"/>
    </row>
    <row r="42" spans="4:32" ht="18" customHeight="1">
      <c r="D42" s="304"/>
      <c r="E42" s="1261"/>
      <c r="F42" s="304"/>
      <c r="G42" s="1258" t="s">
        <v>2568</v>
      </c>
      <c r="H42" s="304"/>
      <c r="I42" s="304"/>
      <c r="J42" s="304"/>
      <c r="K42" s="304"/>
      <c r="L42" s="304"/>
      <c r="M42" s="304"/>
      <c r="AC42" s="1260"/>
    </row>
    <row r="43" spans="4:32" ht="18" customHeight="1">
      <c r="E43" s="302"/>
      <c r="G43" s="1259"/>
      <c r="K43" s="308"/>
      <c r="AC43" s="1260"/>
    </row>
    <row r="44" spans="4:32" ht="18" customHeight="1" thickBot="1">
      <c r="E44" s="1262"/>
      <c r="F44" s="1263"/>
      <c r="G44" s="1263"/>
      <c r="H44" s="1263"/>
      <c r="I44" s="1263"/>
      <c r="J44" s="1263"/>
      <c r="K44" s="1264"/>
      <c r="L44" s="1263"/>
      <c r="M44" s="1263"/>
      <c r="N44" s="1265"/>
      <c r="O44" s="1263"/>
      <c r="P44" s="1263"/>
      <c r="Q44" s="1263"/>
      <c r="R44" s="1263"/>
      <c r="S44" s="1263"/>
      <c r="T44" s="1263"/>
      <c r="U44" s="1263"/>
      <c r="V44" s="1263"/>
      <c r="W44" s="1263"/>
      <c r="X44" s="1263"/>
      <c r="Y44" s="1263"/>
      <c r="Z44" s="1263"/>
      <c r="AA44" s="1263"/>
      <c r="AB44" s="1263"/>
      <c r="AC44" s="1266"/>
    </row>
    <row r="45" spans="4:32" ht="18" customHeight="1">
      <c r="H45" s="308"/>
      <c r="I45" s="308"/>
      <c r="J45" s="308"/>
      <c r="K45" s="308"/>
    </row>
    <row r="46" spans="4:32" ht="18" customHeight="1">
      <c r="K46" s="308"/>
    </row>
    <row r="50" spans="7:17" ht="18" customHeight="1">
      <c r="G50" s="295"/>
      <c r="H50" s="295"/>
      <c r="I50" s="295"/>
      <c r="J50" s="295"/>
      <c r="K50" s="295"/>
      <c r="L50" s="295"/>
      <c r="M50" s="295"/>
      <c r="N50" s="309"/>
      <c r="O50" s="295"/>
      <c r="P50" s="295"/>
      <c r="Q50" s="295"/>
    </row>
    <row r="51" spans="7:17" ht="18" customHeight="1">
      <c r="G51" s="295"/>
      <c r="H51" s="295"/>
      <c r="I51" s="295"/>
      <c r="J51" s="295"/>
      <c r="K51" s="295"/>
      <c r="L51" s="295"/>
      <c r="M51" s="295"/>
      <c r="N51" s="309"/>
      <c r="O51" s="295"/>
      <c r="P51" s="295"/>
      <c r="Q51" s="295"/>
    </row>
    <row r="52" spans="7:17" ht="18" customHeight="1">
      <c r="G52" s="295"/>
      <c r="H52" s="295"/>
      <c r="I52" s="295"/>
      <c r="J52" s="295"/>
      <c r="K52" s="295"/>
      <c r="L52" s="295"/>
      <c r="M52" s="295"/>
      <c r="N52" s="309"/>
      <c r="O52" s="295"/>
      <c r="P52" s="306"/>
      <c r="Q52" s="295"/>
    </row>
    <row r="53" spans="7:17" ht="18" customHeight="1">
      <c r="G53" s="295"/>
      <c r="H53" s="295"/>
      <c r="I53" s="295"/>
      <c r="J53" s="295"/>
      <c r="K53" s="295"/>
      <c r="L53" s="295"/>
      <c r="M53" s="295"/>
      <c r="N53" s="309"/>
      <c r="O53" s="295"/>
      <c r="P53" s="306"/>
      <c r="Q53" s="295"/>
    </row>
    <row r="54" spans="7:17" ht="18" customHeight="1">
      <c r="G54" s="295"/>
      <c r="H54" s="295"/>
      <c r="I54" s="295"/>
      <c r="J54" s="295"/>
      <c r="K54" s="295"/>
      <c r="L54" s="295"/>
      <c r="M54" s="295"/>
      <c r="N54" s="309"/>
      <c r="O54" s="295"/>
      <c r="P54" s="295"/>
      <c r="Q54" s="295"/>
    </row>
    <row r="55" spans="7:17" ht="18" customHeight="1">
      <c r="G55" s="295"/>
      <c r="H55" s="295"/>
      <c r="I55" s="295"/>
      <c r="J55" s="295"/>
      <c r="K55" s="295"/>
      <c r="L55" s="295"/>
      <c r="M55" s="295"/>
      <c r="N55" s="309"/>
      <c r="O55" s="295"/>
      <c r="P55" s="295"/>
      <c r="Q55" s="295"/>
    </row>
    <row r="56" spans="7:17" ht="18" customHeight="1">
      <c r="G56" s="295"/>
      <c r="H56" s="295"/>
      <c r="I56" s="295"/>
      <c r="J56" s="295"/>
      <c r="K56" s="295"/>
      <c r="L56" s="295"/>
      <c r="M56" s="295"/>
      <c r="N56" s="309"/>
      <c r="O56" s="295"/>
      <c r="P56" s="295"/>
      <c r="Q56" s="295"/>
    </row>
  </sheetData>
  <sheetProtection algorithmName="SHA-512" hashValue="gkVo/W3HKyc49rrRDCcuTtZM1tGEzxRCoDwQ4NccqTONVe6CxJnBE+oE/z4+2JaiDnoCOOSLVR7GtXpSyGjTNw==" saltValue="GhSFF7vNvKbGQXVPVDfvlw==" spinCount="100000" sheet="1" objects="1" scenarios="1"/>
  <mergeCells count="23">
    <mergeCell ref="F4:M4"/>
    <mergeCell ref="F3:M3"/>
    <mergeCell ref="E2:AC2"/>
    <mergeCell ref="F25:G25"/>
    <mergeCell ref="F26:G26"/>
    <mergeCell ref="F11:N11"/>
    <mergeCell ref="F27:G27"/>
    <mergeCell ref="F28:G28"/>
    <mergeCell ref="I12:I13"/>
    <mergeCell ref="J12:J13"/>
    <mergeCell ref="F41:G41"/>
    <mergeCell ref="F29:G29"/>
    <mergeCell ref="F34:G34"/>
    <mergeCell ref="F35:G35"/>
    <mergeCell ref="F36:G36"/>
    <mergeCell ref="F37:G37"/>
    <mergeCell ref="F38:G38"/>
    <mergeCell ref="F39:G39"/>
    <mergeCell ref="F30:G30"/>
    <mergeCell ref="F31:G31"/>
    <mergeCell ref="F32:G32"/>
    <mergeCell ref="F33:G33"/>
    <mergeCell ref="F40:G40"/>
  </mergeCells>
  <conditionalFormatting sqref="I12:J12">
    <cfRule type="dataBar" priority="2">
      <dataBar>
        <cfvo type="min"/>
        <cfvo type="max"/>
        <color rgb="FF638EC6"/>
      </dataBar>
      <extLst>
        <ext xmlns:x14="http://schemas.microsoft.com/office/spreadsheetml/2009/9/main" uri="{B025F937-C7B1-47D3-B67F-A62EFF666E3E}">
          <x14:id>{603729EF-1499-44BD-82BB-46FE47385B89}</x14:id>
        </ext>
      </extLst>
    </cfRule>
  </conditionalFormatting>
  <conditionalFormatting sqref="J13">
    <cfRule type="dataBar" priority="1">
      <dataBar>
        <cfvo type="min"/>
        <cfvo type="max"/>
        <color rgb="FF638EC6"/>
      </dataBar>
      <extLst>
        <ext xmlns:x14="http://schemas.microsoft.com/office/spreadsheetml/2009/9/main" uri="{B025F937-C7B1-47D3-B67F-A62EFF666E3E}">
          <x14:id>{6CF81F97-5CDA-4A7F-B9D3-EA06D5A613FA}</x14:id>
        </ext>
      </extLst>
    </cfRule>
  </conditionalFormatting>
  <pageMargins left="0.7" right="0.7" top="0.75" bottom="0.75" header="0.3" footer="0.3"/>
  <pageSetup paperSize="9" fitToHeight="0"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dataBar" id="{603729EF-1499-44BD-82BB-46FE47385B89}">
            <x14:dataBar minLength="0" maxLength="100" border="1" negativeBarBorderColorSameAsPositive="0">
              <x14:cfvo type="autoMin"/>
              <x14:cfvo type="autoMax"/>
              <x14:borderColor rgb="FF638EC6"/>
              <x14:negativeFillColor rgb="FFFF0000"/>
              <x14:negativeBorderColor rgb="FFFF0000"/>
              <x14:axisColor rgb="FF000000"/>
            </x14:dataBar>
          </x14:cfRule>
          <xm:sqref>I12:J12</xm:sqref>
        </x14:conditionalFormatting>
        <x14:conditionalFormatting xmlns:xm="http://schemas.microsoft.com/office/excel/2006/main">
          <x14:cfRule type="dataBar" id="{6CF81F97-5CDA-4A7F-B9D3-EA06D5A613FA}">
            <x14:dataBar minLength="0" maxLength="100" border="1" negativeBarBorderColorSameAsPositive="0">
              <x14:cfvo type="autoMin"/>
              <x14:cfvo type="autoMax"/>
              <x14:borderColor rgb="FF638EC6"/>
              <x14:negativeFillColor rgb="FFFF0000"/>
              <x14:negativeBorderColor rgb="FFFF0000"/>
              <x14:axisColor rgb="FF000000"/>
            </x14:dataBar>
          </x14:cfRule>
          <xm:sqref>J13</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8EDF9-B316-445A-AAD0-5382E82CBBC5}">
  <dimension ref="A1:Z1203"/>
  <sheetViews>
    <sheetView zoomScale="89" zoomScaleNormal="89" zoomScaleSheetLayoutView="80" workbookViewId="0">
      <selection activeCell="AR13" sqref="AR13"/>
    </sheetView>
  </sheetViews>
  <sheetFormatPr defaultColWidth="9.140625" defaultRowHeight="11.25"/>
  <cols>
    <col min="1" max="1" width="15.28515625" style="968" customWidth="1"/>
    <col min="2" max="2" width="38.28515625" style="968" customWidth="1"/>
    <col min="3" max="3" width="4.28515625" style="968" customWidth="1"/>
    <col min="4" max="4" width="7.42578125" style="968" customWidth="1"/>
    <col min="5" max="5" width="14.28515625" style="1208" hidden="1" customWidth="1"/>
    <col min="6" max="6" width="13.7109375" style="1208" hidden="1" customWidth="1"/>
    <col min="7" max="7" width="15.28515625" style="968" hidden="1" customWidth="1"/>
    <col min="8" max="8" width="18.28515625" style="968" hidden="1" customWidth="1"/>
    <col min="9" max="9" width="18.28515625" style="1043" hidden="1" customWidth="1"/>
    <col min="10" max="10" width="18.28515625" style="1044" hidden="1" customWidth="1"/>
    <col min="11" max="11" width="17.5703125" style="968" customWidth="1"/>
    <col min="12" max="13" width="18.28515625" style="968" customWidth="1"/>
    <col min="14" max="14" width="14" style="979" customWidth="1"/>
    <col min="15" max="15" width="53.7109375" style="968" customWidth="1"/>
    <col min="16" max="16" width="13.28515625" style="979" customWidth="1"/>
    <col min="17" max="17" width="38.28515625" style="968" customWidth="1"/>
    <col min="18" max="18" width="10.28515625" style="968" hidden="1" customWidth="1"/>
    <col min="19" max="19" width="9.28515625" style="968" customWidth="1"/>
    <col min="20" max="21" width="9.140625" style="968" customWidth="1"/>
    <col min="22" max="22" width="31.140625" style="1040" customWidth="1"/>
    <col min="23" max="23" width="29.140625" style="295" hidden="1" customWidth="1"/>
    <col min="24" max="24" width="0" style="295" hidden="1" customWidth="1"/>
    <col min="25" max="26" width="8.85546875" style="295" hidden="1" customWidth="1"/>
    <col min="27" max="42" width="0" style="295" hidden="1" customWidth="1"/>
    <col min="43" max="16384" width="9.140625" style="295"/>
  </cols>
  <sheetData>
    <row r="1" spans="1:22" ht="27" customHeight="1">
      <c r="A1" s="2458" t="s">
        <v>2208</v>
      </c>
      <c r="B1" s="2458"/>
      <c r="C1" s="2458"/>
      <c r="D1" s="2458"/>
      <c r="E1" s="2458"/>
      <c r="F1" s="2458"/>
      <c r="G1" s="2458"/>
      <c r="H1" s="2458"/>
      <c r="I1" s="2458"/>
      <c r="J1" s="2458"/>
      <c r="K1" s="2458"/>
      <c r="L1" s="2458"/>
      <c r="M1" s="2458"/>
      <c r="N1" s="2458"/>
      <c r="O1" s="2458"/>
      <c r="R1" s="2459"/>
      <c r="S1" s="2459"/>
      <c r="T1" s="2459"/>
      <c r="U1" s="2459"/>
      <c r="V1" s="2459"/>
    </row>
    <row r="2" spans="1:22" ht="60.75" customHeight="1">
      <c r="A2" s="2468" t="s">
        <v>4223</v>
      </c>
      <c r="B2" s="2469"/>
      <c r="C2" s="2469"/>
      <c r="D2" s="2469"/>
      <c r="E2" s="2469"/>
      <c r="F2" s="2469"/>
      <c r="G2" s="2469"/>
      <c r="H2" s="2469"/>
      <c r="I2" s="2469"/>
      <c r="J2" s="2469"/>
      <c r="K2" s="2469"/>
      <c r="L2" s="2469"/>
      <c r="M2" s="2469"/>
      <c r="N2" s="2469"/>
      <c r="O2" s="2469"/>
      <c r="P2" s="2469"/>
      <c r="Q2" s="2469"/>
      <c r="R2" s="2469"/>
      <c r="S2" s="2469"/>
      <c r="T2" s="2469"/>
      <c r="U2" s="2469"/>
      <c r="V2" s="2469"/>
    </row>
    <row r="3" spans="1:22" ht="12">
      <c r="A3" s="952" t="str">
        <f>A18</f>
        <v>01.01.01. (T)</v>
      </c>
      <c r="B3" s="1305" t="str">
        <f>B18</f>
        <v>Gerinti  teikiamų paslaugų kokybę, didinti jų prieinamumą ir patrauklumą, tinkamai organizuojant savivaldybės administravimo subjektams  priskirtų funkcijų įgyvendinimą</v>
      </c>
      <c r="C3" s="1305"/>
      <c r="D3" s="1305"/>
      <c r="E3" s="1305"/>
      <c r="F3" s="1305"/>
      <c r="G3" s="1305"/>
      <c r="H3" s="1305"/>
      <c r="I3" s="1305"/>
      <c r="J3" s="1305"/>
      <c r="K3" s="1305"/>
      <c r="L3" s="1305"/>
      <c r="M3" s="952"/>
      <c r="N3" s="1042"/>
      <c r="O3" s="952"/>
      <c r="V3" s="968"/>
    </row>
    <row r="4" spans="1:22" ht="12">
      <c r="A4" s="952" t="str">
        <f>A36</f>
        <v>01.01.02 (T)</v>
      </c>
      <c r="B4" s="2332" t="str">
        <f>B36</f>
        <v>Užtikrinti valstybinių  (valstybės perduotų savivaldybėms) funkcijų vykdymą</v>
      </c>
      <c r="C4" s="2332"/>
      <c r="D4" s="2332"/>
      <c r="E4" s="2332"/>
      <c r="F4" s="2332"/>
      <c r="G4" s="2332"/>
      <c r="H4" s="2332"/>
      <c r="I4" s="2332"/>
      <c r="J4" s="2332"/>
      <c r="K4" s="2332"/>
      <c r="L4" s="2332"/>
      <c r="M4" s="952"/>
      <c r="N4" s="1042"/>
      <c r="O4" s="952"/>
      <c r="V4" s="968"/>
    </row>
    <row r="5" spans="1:22" ht="12">
      <c r="A5" s="952" t="str">
        <f>A95</f>
        <v>01.01.03 (T)</v>
      </c>
      <c r="B5" s="2332" t="str">
        <f>B95</f>
        <v>Užtikrinti efektyvų savivaldybei nuosavybės teise priklausančio nekilnojamojo  turto naudojimą, įmonių bei įstaigų valdymą</v>
      </c>
      <c r="C5" s="2332"/>
      <c r="D5" s="2332"/>
      <c r="E5" s="2332"/>
      <c r="F5" s="2332"/>
      <c r="G5" s="2332"/>
      <c r="H5" s="2332"/>
      <c r="I5" s="2332"/>
      <c r="J5" s="2332"/>
      <c r="K5" s="2332"/>
      <c r="L5" s="2332"/>
      <c r="M5" s="2332"/>
      <c r="N5" s="2332"/>
      <c r="O5" s="2332"/>
      <c r="V5" s="968"/>
    </row>
    <row r="6" spans="1:22" ht="12">
      <c r="A6" s="952" t="str">
        <f>A117</f>
        <v>01.01.04. (T)</v>
      </c>
      <c r="B6" s="165" t="str">
        <f>B117</f>
        <v>Sudaryti sąlygas iš anksto negalimoms suplanuoti priemonėms vykdyti bei savivaldybės finansiniams įsipareigojimams įgyvendinti</v>
      </c>
      <c r="C6" s="165"/>
      <c r="D6" s="165"/>
      <c r="E6" s="165"/>
      <c r="F6" s="165"/>
      <c r="G6" s="165"/>
      <c r="H6" s="165"/>
      <c r="I6" s="165"/>
      <c r="J6" s="165"/>
      <c r="K6" s="165"/>
      <c r="L6" s="236"/>
      <c r="M6" s="952"/>
      <c r="N6" s="1042"/>
      <c r="O6" s="952"/>
      <c r="V6" s="968"/>
    </row>
    <row r="7" spans="1:22" ht="12">
      <c r="A7" s="952" t="str">
        <f>A128</f>
        <v>01.01.05. (T)</v>
      </c>
      <c r="B7" s="165" t="str">
        <f>B128</f>
        <v>Įgyvendinti Visagino savivaldybės 
korupcijos prevencijos 2025-2027 metų veiksmų planą</v>
      </c>
      <c r="C7" s="165"/>
      <c r="D7" s="165"/>
      <c r="E7" s="165"/>
      <c r="F7" s="165"/>
      <c r="G7" s="165"/>
      <c r="H7" s="165"/>
      <c r="I7" s="165"/>
      <c r="J7" s="165"/>
      <c r="K7" s="165"/>
      <c r="L7" s="236"/>
      <c r="M7" s="952"/>
      <c r="N7" s="1042"/>
      <c r="O7" s="952"/>
      <c r="V7" s="968"/>
    </row>
    <row r="8" spans="1:22" ht="12">
      <c r="A8" s="952" t="str">
        <f>A131</f>
        <v>01.02.02. (T)</v>
      </c>
      <c r="B8" s="2332" t="str">
        <f>B131</f>
        <v>Gerinti visuomenei teikiamų paslaugų kokybę, didinant jų atitiktį visuomenės poreikiams</v>
      </c>
      <c r="C8" s="2332"/>
      <c r="D8" s="2332"/>
      <c r="E8" s="2332"/>
      <c r="F8" s="2332"/>
      <c r="G8" s="2332"/>
      <c r="H8" s="2332"/>
      <c r="I8" s="2332"/>
      <c r="J8" s="2332"/>
      <c r="K8" s="2332"/>
      <c r="L8" s="236"/>
      <c r="M8" s="952"/>
      <c r="N8" s="1042"/>
      <c r="O8" s="952"/>
      <c r="V8" s="968"/>
    </row>
    <row r="9" spans="1:22" ht="13.5" customHeight="1">
      <c r="A9" s="952" t="str">
        <f>A173</f>
        <v>01.02.03. (T)</v>
      </c>
      <c r="B9" s="2332" t="str">
        <f>B173</f>
        <v>Organizuoti savivaldybės veiklą vadovaujantis šiuolaikiniais vadybos metodais</v>
      </c>
      <c r="C9" s="2332"/>
      <c r="D9" s="2332"/>
      <c r="E9" s="2332"/>
      <c r="F9" s="2332"/>
      <c r="G9" s="2332"/>
      <c r="H9" s="2332"/>
      <c r="I9" s="2332"/>
      <c r="J9" s="2332"/>
      <c r="K9" s="2332"/>
      <c r="L9" s="236"/>
      <c r="M9" s="952"/>
      <c r="N9" s="1042"/>
      <c r="O9" s="952"/>
      <c r="V9" s="968"/>
    </row>
    <row r="10" spans="1:22" ht="13.5" customHeight="1">
      <c r="A10" s="952" t="str">
        <f>A179</f>
        <v>01.02.04. (T)</v>
      </c>
      <c r="B10" s="1305" t="str">
        <f>B179</f>
        <v>Informuoti visuomenę apie savivaldybės veiklą ir formuoti teigiamą savivaldybės įvaizdį, plėtoti dalykinius santykius ir ryšius su tarptautinėmis ir vietinėmis institucijomis ir organizacijomis</v>
      </c>
      <c r="C10" s="1305"/>
      <c r="D10" s="1305"/>
      <c r="E10" s="1305"/>
      <c r="F10" s="1305"/>
      <c r="G10" s="1305"/>
      <c r="H10" s="1305"/>
      <c r="I10" s="1305"/>
      <c r="J10" s="1305"/>
      <c r="K10" s="1305"/>
      <c r="L10" s="1305"/>
      <c r="M10" s="1305"/>
      <c r="N10" s="1042"/>
      <c r="O10" s="982"/>
      <c r="P10" s="983"/>
      <c r="Q10" s="984"/>
      <c r="R10" s="984"/>
      <c r="S10" s="984"/>
      <c r="T10" s="984"/>
      <c r="U10" s="984"/>
      <c r="V10" s="984"/>
    </row>
    <row r="11" spans="1:22" ht="9" customHeight="1">
      <c r="A11" s="2470"/>
      <c r="B11" s="2471"/>
      <c r="C11" s="2471"/>
      <c r="D11" s="2471"/>
      <c r="E11" s="2471"/>
      <c r="F11" s="2471"/>
      <c r="G11" s="2471"/>
      <c r="H11" s="2471"/>
      <c r="I11" s="2471"/>
      <c r="J11" s="2471"/>
      <c r="K11" s="2471"/>
      <c r="L11" s="2471"/>
      <c r="M11" s="2471"/>
      <c r="N11" s="2471"/>
      <c r="O11" s="2471"/>
      <c r="P11" s="2471"/>
      <c r="Q11" s="2471"/>
      <c r="R11" s="2471"/>
      <c r="S11" s="2471"/>
      <c r="T11" s="2471"/>
      <c r="U11" s="2471"/>
      <c r="V11" s="2471"/>
    </row>
    <row r="12" spans="1:22" ht="24.75" customHeight="1">
      <c r="A12" s="2331" t="s">
        <v>3098</v>
      </c>
      <c r="B12" s="2331"/>
      <c r="C12" s="2331"/>
      <c r="D12" s="2331"/>
      <c r="E12" s="2331"/>
      <c r="F12" s="2331"/>
      <c r="G12" s="2331"/>
      <c r="H12" s="2331"/>
      <c r="I12" s="2331"/>
      <c r="J12" s="2331"/>
      <c r="K12" s="2331"/>
      <c r="L12" s="2331"/>
      <c r="M12" s="979"/>
      <c r="R12" s="981"/>
      <c r="S12" s="981"/>
      <c r="T12" s="981"/>
      <c r="U12" s="981"/>
      <c r="V12" s="981"/>
    </row>
    <row r="13" spans="1:22" ht="21" customHeight="1">
      <c r="A13" s="2331" t="s">
        <v>4224</v>
      </c>
      <c r="B13" s="2331"/>
      <c r="C13" s="2331"/>
      <c r="D13" s="2331"/>
      <c r="E13" s="2331"/>
      <c r="F13" s="2331"/>
      <c r="G13" s="2331"/>
      <c r="H13" s="2331"/>
      <c r="I13" s="2331"/>
      <c r="J13" s="2331"/>
      <c r="K13" s="2331"/>
      <c r="L13" s="2331"/>
      <c r="M13" s="979"/>
      <c r="R13" s="981"/>
      <c r="S13" s="981"/>
      <c r="T13" s="981"/>
      <c r="U13" s="981"/>
      <c r="V13" s="981"/>
    </row>
    <row r="14" spans="1:22" ht="27" hidden="1" customHeight="1">
      <c r="E14" s="968"/>
      <c r="F14" s="968"/>
      <c r="O14" s="984"/>
      <c r="P14" s="983"/>
      <c r="Q14" s="984"/>
      <c r="R14" s="984"/>
      <c r="S14" s="984"/>
      <c r="T14" s="984"/>
      <c r="U14" s="984"/>
      <c r="V14" s="984"/>
    </row>
    <row r="15" spans="1:22" s="236" customFormat="1" ht="15" customHeight="1">
      <c r="A15" s="1307" t="s">
        <v>4180</v>
      </c>
      <c r="B15" s="1307"/>
      <c r="C15" s="1307"/>
      <c r="D15" s="1307"/>
      <c r="E15" s="1307"/>
      <c r="F15" s="1307"/>
      <c r="G15" s="1307"/>
      <c r="H15" s="1307"/>
      <c r="I15" s="1307"/>
      <c r="J15" s="1307"/>
      <c r="K15" s="952"/>
      <c r="L15" s="952"/>
      <c r="M15" s="952"/>
      <c r="N15" s="1042"/>
      <c r="O15" s="982"/>
      <c r="P15" s="2467"/>
      <c r="Q15" s="2467"/>
      <c r="R15" s="2467"/>
      <c r="S15" s="2467"/>
      <c r="T15" s="982"/>
      <c r="U15" s="982"/>
      <c r="V15" s="982"/>
    </row>
    <row r="16" spans="1:22" s="236" customFormat="1" ht="27" customHeight="1">
      <c r="A16" s="2359" t="s">
        <v>2012</v>
      </c>
      <c r="B16" s="2359" t="s">
        <v>2013</v>
      </c>
      <c r="C16" s="2449" t="s">
        <v>1072</v>
      </c>
      <c r="D16" s="2449" t="s">
        <v>1073</v>
      </c>
      <c r="E16" s="2447" t="s">
        <v>1091</v>
      </c>
      <c r="F16" s="2445" t="s">
        <v>1186</v>
      </c>
      <c r="G16" s="2445" t="s">
        <v>2479</v>
      </c>
      <c r="H16" s="2359" t="s">
        <v>2030</v>
      </c>
      <c r="I16" s="2453" t="s">
        <v>3099</v>
      </c>
      <c r="J16" s="2445" t="s">
        <v>3100</v>
      </c>
      <c r="K16" s="2359" t="s">
        <v>2029</v>
      </c>
      <c r="L16" s="2359" t="s">
        <v>2031</v>
      </c>
      <c r="M16" s="2359" t="s">
        <v>3097</v>
      </c>
      <c r="N16" s="2359" t="s">
        <v>2032</v>
      </c>
      <c r="O16" s="2359" t="s">
        <v>2911</v>
      </c>
      <c r="P16" s="2361" t="s">
        <v>731</v>
      </c>
      <c r="Q16" s="2361" t="s">
        <v>1093</v>
      </c>
      <c r="R16" s="2351" t="s">
        <v>732</v>
      </c>
      <c r="S16" s="2352"/>
      <c r="T16" s="2352"/>
      <c r="U16" s="2353"/>
      <c r="V16" s="2361" t="s">
        <v>733</v>
      </c>
    </row>
    <row r="17" spans="1:23" s="236" customFormat="1" ht="83.25" customHeight="1">
      <c r="A17" s="2360"/>
      <c r="B17" s="2360"/>
      <c r="C17" s="2450"/>
      <c r="D17" s="2450"/>
      <c r="E17" s="2448"/>
      <c r="F17" s="2446"/>
      <c r="G17" s="2446"/>
      <c r="H17" s="2360"/>
      <c r="I17" s="2454"/>
      <c r="J17" s="2446"/>
      <c r="K17" s="2360"/>
      <c r="L17" s="2360"/>
      <c r="M17" s="2360"/>
      <c r="N17" s="2360"/>
      <c r="O17" s="2360"/>
      <c r="P17" s="2362"/>
      <c r="Q17" s="2362"/>
      <c r="R17" s="209">
        <v>2024</v>
      </c>
      <c r="S17" s="209">
        <v>2025</v>
      </c>
      <c r="T17" s="209">
        <v>2026</v>
      </c>
      <c r="U17" s="455">
        <v>2027</v>
      </c>
      <c r="V17" s="2362"/>
    </row>
    <row r="18" spans="1:23" s="626" customFormat="1" ht="69.75" customHeight="1">
      <c r="A18" s="1017" t="s">
        <v>2014</v>
      </c>
      <c r="B18" s="970" t="s">
        <v>1968</v>
      </c>
      <c r="C18" s="1045"/>
      <c r="D18" s="954" t="s">
        <v>1076</v>
      </c>
      <c r="E18" s="1046">
        <f>SUM(E23,E31,E33,E35,)</f>
        <v>3181.3590000000004</v>
      </c>
      <c r="F18" s="1047">
        <f>H18/E18-1</f>
        <v>0.20598775554723603</v>
      </c>
      <c r="G18" s="1046">
        <f>SUM(G23,G31,G33,G35,)</f>
        <v>3611.4369999999994</v>
      </c>
      <c r="H18" s="1006">
        <f>SUM(H23,H31,H33,H35,)</f>
        <v>3836.68</v>
      </c>
      <c r="I18" s="1048"/>
      <c r="J18" s="1049">
        <f>SUM(J23,J31,J33,J35,)</f>
        <v>4281.5219999999999</v>
      </c>
      <c r="K18" s="1006">
        <f t="shared" ref="K18:M18" si="0">SUM(K23,K31,K33,K35,)</f>
        <v>4056.8040000000001</v>
      </c>
      <c r="L18" s="1006">
        <f t="shared" si="0"/>
        <v>4049.47</v>
      </c>
      <c r="M18" s="1006">
        <f t="shared" si="0"/>
        <v>4220.99</v>
      </c>
      <c r="N18" s="177" t="s">
        <v>973</v>
      </c>
      <c r="O18" s="954"/>
      <c r="P18" s="970" t="s">
        <v>1109</v>
      </c>
      <c r="Q18" s="970" t="s">
        <v>975</v>
      </c>
      <c r="R18" s="970" t="s">
        <v>4</v>
      </c>
      <c r="S18" s="970" t="s">
        <v>1340</v>
      </c>
      <c r="T18" s="970" t="s">
        <v>142</v>
      </c>
      <c r="U18" s="970" t="s">
        <v>142</v>
      </c>
      <c r="V18" s="969" t="s">
        <v>975</v>
      </c>
    </row>
    <row r="19" spans="1:23" s="236" customFormat="1" ht="27.6" customHeight="1">
      <c r="A19" s="2341" t="s">
        <v>2015</v>
      </c>
      <c r="B19" s="2465" t="s">
        <v>2821</v>
      </c>
      <c r="C19" s="2466">
        <v>188711925</v>
      </c>
      <c r="D19" s="1050" t="s">
        <v>471</v>
      </c>
      <c r="E19" s="1051">
        <f>E25+E26</f>
        <v>2778.6000000000004</v>
      </c>
      <c r="F19" s="1052">
        <f>H19/E19-1</f>
        <v>0.19604117181314296</v>
      </c>
      <c r="G19" s="1051">
        <f>SUM(G24:G26)</f>
        <v>3075.9949999999999</v>
      </c>
      <c r="H19" s="1053">
        <f t="shared" ref="H19" si="1">SUM(H24:H26)</f>
        <v>3323.3199999999997</v>
      </c>
      <c r="I19" s="1054">
        <f>K19/H19-1</f>
        <v>6.7432567432567536E-2</v>
      </c>
      <c r="J19" s="1051">
        <v>3777.18</v>
      </c>
      <c r="K19" s="1053">
        <f>SUM(K24,K25,K26,K29)</f>
        <v>3547.42</v>
      </c>
      <c r="L19" s="1053">
        <f>SUM(L24,L25,L26,)</f>
        <v>3558.0699999999997</v>
      </c>
      <c r="M19" s="1053">
        <f>SUM(M24,M25,M26,)</f>
        <v>3724.1099999999997</v>
      </c>
      <c r="N19" s="2376" t="s">
        <v>2267</v>
      </c>
      <c r="O19" s="2395" t="s">
        <v>3002</v>
      </c>
      <c r="P19" s="2342" t="s">
        <v>1094</v>
      </c>
      <c r="Q19" s="2342" t="s">
        <v>1997</v>
      </c>
      <c r="R19" s="2342" t="s">
        <v>4</v>
      </c>
      <c r="S19" s="2342" t="s">
        <v>1340</v>
      </c>
      <c r="T19" s="2342" t="s">
        <v>1340</v>
      </c>
      <c r="U19" s="2342" t="s">
        <v>1340</v>
      </c>
      <c r="V19" s="2465" t="s">
        <v>2461</v>
      </c>
      <c r="W19" s="401" t="s">
        <v>2820</v>
      </c>
    </row>
    <row r="20" spans="1:23" s="236" customFormat="1" ht="25.15" customHeight="1">
      <c r="A20" s="2341"/>
      <c r="B20" s="2465"/>
      <c r="C20" s="2466"/>
      <c r="D20" s="1050" t="s">
        <v>1389</v>
      </c>
      <c r="E20" s="1051">
        <v>12.269</v>
      </c>
      <c r="F20" s="1052">
        <f>H20/E20-1</f>
        <v>0.41005786942701117</v>
      </c>
      <c r="G20" s="1051">
        <f>SUM(G27)</f>
        <v>15.45</v>
      </c>
      <c r="H20" s="1053">
        <v>17.3</v>
      </c>
      <c r="I20" s="1054">
        <f t="shared" ref="I20:I86" si="2">K20/H20-1</f>
        <v>2.0231213872832221E-2</v>
      </c>
      <c r="J20" s="1051">
        <f>J27</f>
        <v>17.649999999999999</v>
      </c>
      <c r="K20" s="1053">
        <f>K27</f>
        <v>17.649999999999999</v>
      </c>
      <c r="L20" s="1053">
        <f t="shared" ref="L20:M20" si="3">L27</f>
        <v>2</v>
      </c>
      <c r="M20" s="1053">
        <f t="shared" si="3"/>
        <v>2</v>
      </c>
      <c r="N20" s="2376"/>
      <c r="O20" s="2395"/>
      <c r="P20" s="2342"/>
      <c r="Q20" s="2342"/>
      <c r="R20" s="2342"/>
      <c r="S20" s="2342"/>
      <c r="T20" s="2342"/>
      <c r="U20" s="2342"/>
      <c r="V20" s="2465"/>
    </row>
    <row r="21" spans="1:23" s="236" customFormat="1" ht="25.15" customHeight="1">
      <c r="A21" s="2341"/>
      <c r="B21" s="2465"/>
      <c r="C21" s="2466"/>
      <c r="D21" s="1050" t="s">
        <v>3026</v>
      </c>
      <c r="E21" s="1051"/>
      <c r="F21" s="1052"/>
      <c r="G21" s="1051"/>
      <c r="H21" s="1053"/>
      <c r="I21" s="1054"/>
      <c r="J21" s="1051"/>
      <c r="K21" s="1053">
        <f>K28</f>
        <v>2.5640000000000001</v>
      </c>
      <c r="L21" s="1053"/>
      <c r="M21" s="1053"/>
      <c r="N21" s="2376"/>
      <c r="O21" s="2395"/>
      <c r="P21" s="2342"/>
      <c r="Q21" s="2342"/>
      <c r="R21" s="2342"/>
      <c r="S21" s="2342"/>
      <c r="T21" s="2342"/>
      <c r="U21" s="2342"/>
      <c r="V21" s="2465"/>
    </row>
    <row r="22" spans="1:23" s="236" customFormat="1" ht="27" customHeight="1">
      <c r="A22" s="2341"/>
      <c r="B22" s="2465"/>
      <c r="C22" s="2466"/>
      <c r="D22" s="1050" t="s">
        <v>413</v>
      </c>
      <c r="E22" s="1051"/>
      <c r="F22" s="1052"/>
      <c r="G22" s="1051"/>
      <c r="H22" s="1053">
        <v>0</v>
      </c>
      <c r="I22" s="1054"/>
      <c r="J22" s="1051">
        <v>0</v>
      </c>
      <c r="K22" s="1053">
        <v>0</v>
      </c>
      <c r="L22" s="1053">
        <v>0</v>
      </c>
      <c r="M22" s="1053">
        <v>0</v>
      </c>
      <c r="N22" s="2376"/>
      <c r="O22" s="2395"/>
      <c r="P22" s="2342"/>
      <c r="Q22" s="2342"/>
      <c r="R22" s="2342"/>
      <c r="S22" s="2342"/>
      <c r="T22" s="2342"/>
      <c r="U22" s="2342"/>
      <c r="V22" s="2465"/>
    </row>
    <row r="23" spans="1:23" s="236" customFormat="1" ht="27.75" customHeight="1">
      <c r="A23" s="2341"/>
      <c r="B23" s="2465"/>
      <c r="C23" s="2466"/>
      <c r="D23" s="1056" t="s">
        <v>1076</v>
      </c>
      <c r="E23" s="1057">
        <f>SUM(E19:E22)</f>
        <v>2790.8690000000001</v>
      </c>
      <c r="F23" s="1058">
        <f>H23/E23-1</f>
        <v>0.19698201527911197</v>
      </c>
      <c r="G23" s="1057">
        <f>SUM(G19:G22)</f>
        <v>3091.4449999999997</v>
      </c>
      <c r="H23" s="1059">
        <f>SUM(H19:H22)</f>
        <v>3340.62</v>
      </c>
      <c r="I23" s="1060">
        <f t="shared" si="2"/>
        <v>6.7955648951392389E-2</v>
      </c>
      <c r="J23" s="1057">
        <f t="shared" ref="J23:M23" si="4">SUM(J19:J22)</f>
        <v>3794.83</v>
      </c>
      <c r="K23" s="1059">
        <f>SUM(K19:K22)</f>
        <v>3567.634</v>
      </c>
      <c r="L23" s="1059">
        <f t="shared" si="4"/>
        <v>3560.0699999999997</v>
      </c>
      <c r="M23" s="1059">
        <f t="shared" si="4"/>
        <v>3726.1099999999997</v>
      </c>
      <c r="N23" s="2376"/>
      <c r="O23" s="2395"/>
      <c r="P23" s="2342"/>
      <c r="Q23" s="2342"/>
      <c r="R23" s="2342"/>
      <c r="S23" s="2342"/>
      <c r="T23" s="2342"/>
      <c r="U23" s="2342"/>
      <c r="V23" s="2465"/>
    </row>
    <row r="24" spans="1:23" s="236" customFormat="1" ht="25.9" hidden="1" customHeight="1">
      <c r="A24" s="2460"/>
      <c r="B24" s="972" t="s">
        <v>2751</v>
      </c>
      <c r="C24" s="1062"/>
      <c r="D24" s="1063" t="s">
        <v>471</v>
      </c>
      <c r="E24" s="1064">
        <v>0</v>
      </c>
      <c r="F24" s="1065" t="e">
        <f t="shared" ref="F24:F88" si="5">(H24-E24)/E24</f>
        <v>#DIV/0!</v>
      </c>
      <c r="G24" s="1066">
        <v>339.72500000000002</v>
      </c>
      <c r="H24" s="985">
        <v>374.45</v>
      </c>
      <c r="I24" s="1067"/>
      <c r="J24" s="1068">
        <v>353.61</v>
      </c>
      <c r="K24" s="1069">
        <v>342.84100000000001</v>
      </c>
      <c r="L24" s="985">
        <v>342.84</v>
      </c>
      <c r="M24" s="985">
        <v>359.01</v>
      </c>
      <c r="N24" s="1308"/>
      <c r="O24" s="985"/>
      <c r="P24" s="986"/>
      <c r="Q24" s="986"/>
      <c r="R24" s="986"/>
      <c r="S24" s="986"/>
      <c r="T24" s="987"/>
      <c r="U24" s="987"/>
      <c r="V24" s="988"/>
    </row>
    <row r="25" spans="1:23" s="236" customFormat="1" ht="20.100000000000001" hidden="1" customHeight="1">
      <c r="A25" s="2460"/>
      <c r="B25" s="973" t="s">
        <v>1077</v>
      </c>
      <c r="C25" s="1071"/>
      <c r="D25" s="1072" t="s">
        <v>471</v>
      </c>
      <c r="E25" s="1073">
        <v>210.07</v>
      </c>
      <c r="F25" s="1065">
        <f t="shared" si="5"/>
        <v>-1</v>
      </c>
      <c r="G25" s="1068">
        <v>0</v>
      </c>
      <c r="H25" s="989">
        <v>0</v>
      </c>
      <c r="I25" s="1067"/>
      <c r="J25" s="1068"/>
      <c r="K25" s="1074"/>
      <c r="L25" s="989"/>
      <c r="M25" s="989"/>
      <c r="N25" s="591"/>
      <c r="O25" s="989"/>
      <c r="P25" s="990"/>
      <c r="Q25" s="990"/>
      <c r="R25" s="990"/>
      <c r="S25" s="990"/>
      <c r="T25" s="991"/>
      <c r="U25" s="991"/>
      <c r="V25" s="992"/>
    </row>
    <row r="26" spans="1:23" s="236" customFormat="1" ht="20.100000000000001" hidden="1" customHeight="1">
      <c r="A26" s="2460"/>
      <c r="B26" s="2461" t="s">
        <v>1078</v>
      </c>
      <c r="C26" s="2463"/>
      <c r="D26" s="1072" t="s">
        <v>471</v>
      </c>
      <c r="E26" s="1068">
        <v>2568.5300000000002</v>
      </c>
      <c r="F26" s="1065">
        <f>(H26-E26)/E26</f>
        <v>0.14807691558985087</v>
      </c>
      <c r="G26" s="1068">
        <v>2736.27</v>
      </c>
      <c r="H26" s="989">
        <f>2949.39-0.52</f>
        <v>2948.87</v>
      </c>
      <c r="I26" s="1067"/>
      <c r="J26" s="1068">
        <v>3204.18</v>
      </c>
      <c r="K26" s="989">
        <v>3204.1790000000001</v>
      </c>
      <c r="L26" s="1074">
        <f>3215.74-0.51</f>
        <v>3215.2299999999996</v>
      </c>
      <c r="M26" s="989">
        <v>3365.1</v>
      </c>
      <c r="N26" s="591"/>
      <c r="O26" s="989"/>
      <c r="P26" s="990"/>
      <c r="Q26" s="990"/>
      <c r="R26" s="990"/>
      <c r="S26" s="990"/>
      <c r="T26" s="991"/>
      <c r="U26" s="991"/>
      <c r="V26" s="992"/>
    </row>
    <row r="27" spans="1:23" s="236" customFormat="1" ht="20.100000000000001" hidden="1" customHeight="1">
      <c r="A27" s="2460"/>
      <c r="B27" s="2462"/>
      <c r="C27" s="2464"/>
      <c r="D27" s="1072" t="s">
        <v>1079</v>
      </c>
      <c r="E27" s="1068">
        <v>12.269</v>
      </c>
      <c r="F27" s="1065">
        <f t="shared" si="5"/>
        <v>0.41005786942701122</v>
      </c>
      <c r="G27" s="1068">
        <v>15.45</v>
      </c>
      <c r="H27" s="989">
        <v>17.3</v>
      </c>
      <c r="I27" s="1067"/>
      <c r="J27" s="1068">
        <v>17.649999999999999</v>
      </c>
      <c r="K27" s="1074">
        <v>17.649999999999999</v>
      </c>
      <c r="L27" s="989">
        <v>2</v>
      </c>
      <c r="M27" s="989">
        <v>2</v>
      </c>
      <c r="N27" s="591"/>
      <c r="O27" s="989"/>
      <c r="P27" s="990"/>
      <c r="Q27" s="990"/>
      <c r="R27" s="990"/>
      <c r="S27" s="990"/>
      <c r="T27" s="991"/>
      <c r="U27" s="991"/>
      <c r="V27" s="992"/>
    </row>
    <row r="28" spans="1:23" s="236" customFormat="1" ht="20.100000000000001" hidden="1" customHeight="1">
      <c r="A28" s="1035"/>
      <c r="B28" s="975" t="s">
        <v>4068</v>
      </c>
      <c r="C28" s="1078"/>
      <c r="D28" s="1079" t="s">
        <v>3026</v>
      </c>
      <c r="E28" s="1068"/>
      <c r="F28" s="1065"/>
      <c r="G28" s="1068"/>
      <c r="H28" s="989"/>
      <c r="I28" s="1067"/>
      <c r="J28" s="1068"/>
      <c r="K28" s="1080">
        <v>2.5640000000000001</v>
      </c>
      <c r="L28" s="989"/>
      <c r="M28" s="989"/>
      <c r="N28" s="1309"/>
      <c r="O28" s="993"/>
      <c r="P28" s="994"/>
      <c r="Q28" s="990"/>
      <c r="R28" s="990"/>
      <c r="S28" s="990"/>
      <c r="T28" s="991"/>
      <c r="U28" s="991"/>
      <c r="V28" s="995"/>
    </row>
    <row r="29" spans="1:23" s="236" customFormat="1" ht="20.100000000000001" hidden="1" customHeight="1">
      <c r="A29" s="1035"/>
      <c r="B29" s="975"/>
      <c r="C29" s="1078"/>
      <c r="D29" s="1079"/>
      <c r="E29" s="1068"/>
      <c r="F29" s="1065"/>
      <c r="G29" s="1068"/>
      <c r="H29" s="989"/>
      <c r="I29" s="1067"/>
      <c r="J29" s="1068"/>
      <c r="K29" s="1080">
        <v>0.4</v>
      </c>
      <c r="L29" s="989"/>
      <c r="M29" s="989"/>
      <c r="N29" s="1309"/>
      <c r="O29" s="993"/>
      <c r="P29" s="994"/>
      <c r="Q29" s="990"/>
      <c r="R29" s="990"/>
      <c r="S29" s="990"/>
      <c r="T29" s="991"/>
      <c r="U29" s="991"/>
      <c r="V29" s="995"/>
    </row>
    <row r="30" spans="1:23" s="236" customFormat="1" ht="37.15" customHeight="1">
      <c r="A30" s="2340" t="s">
        <v>2016</v>
      </c>
      <c r="B30" s="2455" t="s">
        <v>1969</v>
      </c>
      <c r="C30" s="2456">
        <v>188711925</v>
      </c>
      <c r="D30" s="1082" t="s">
        <v>471</v>
      </c>
      <c r="E30" s="1051">
        <f>138+12</f>
        <v>150</v>
      </c>
      <c r="F30" s="1052">
        <f>H30/E30-1</f>
        <v>1.5505999999999998</v>
      </c>
      <c r="G30" s="1051">
        <f>397.316+18</f>
        <v>415.31599999999997</v>
      </c>
      <c r="H30" s="1053">
        <f>364.59+18</f>
        <v>382.59</v>
      </c>
      <c r="I30" s="1054">
        <f t="shared" si="2"/>
        <v>-4.3623722522805108E-2</v>
      </c>
      <c r="J30" s="1051">
        <v>362</v>
      </c>
      <c r="K30" s="1053">
        <v>365.9</v>
      </c>
      <c r="L30" s="1053">
        <v>365.9</v>
      </c>
      <c r="M30" s="1053">
        <v>365.9</v>
      </c>
      <c r="N30" s="2356" t="s">
        <v>2268</v>
      </c>
      <c r="O30" s="2349" t="s">
        <v>3620</v>
      </c>
      <c r="P30" s="2343" t="s">
        <v>1095</v>
      </c>
      <c r="Q30" s="947" t="s">
        <v>2697</v>
      </c>
      <c r="R30" s="947" t="s">
        <v>2698</v>
      </c>
      <c r="S30" s="947" t="s">
        <v>2699</v>
      </c>
      <c r="T30" s="947" t="s">
        <v>2699</v>
      </c>
      <c r="U30" s="947" t="s">
        <v>2699</v>
      </c>
      <c r="V30" s="2343" t="s">
        <v>2269</v>
      </c>
      <c r="W30" s="2332"/>
    </row>
    <row r="31" spans="1:23" s="236" customFormat="1" ht="39" customHeight="1">
      <c r="A31" s="2346"/>
      <c r="B31" s="2426"/>
      <c r="C31" s="2457"/>
      <c r="D31" s="1083" t="s">
        <v>1076</v>
      </c>
      <c r="E31" s="1057">
        <f>E30</f>
        <v>150</v>
      </c>
      <c r="F31" s="1058">
        <f t="shared" si="5"/>
        <v>1.5505999999999998</v>
      </c>
      <c r="G31" s="1057">
        <f>G30</f>
        <v>415.31599999999997</v>
      </c>
      <c r="H31" s="1059">
        <f>H30</f>
        <v>382.59</v>
      </c>
      <c r="I31" s="1060">
        <f t="shared" si="2"/>
        <v>-4.3623722522805108E-2</v>
      </c>
      <c r="J31" s="1057">
        <f>J30</f>
        <v>362</v>
      </c>
      <c r="K31" s="1059">
        <f t="shared" ref="K31" si="6">K30</f>
        <v>365.9</v>
      </c>
      <c r="L31" s="1059">
        <f t="shared" ref="L31" si="7">L30</f>
        <v>365.9</v>
      </c>
      <c r="M31" s="1059">
        <f t="shared" ref="M31" si="8">M30</f>
        <v>365.9</v>
      </c>
      <c r="N31" s="2358"/>
      <c r="O31" s="2350"/>
      <c r="P31" s="2344"/>
      <c r="Q31" s="947" t="s">
        <v>2034</v>
      </c>
      <c r="R31" s="947" t="s">
        <v>2035</v>
      </c>
      <c r="S31" s="947" t="s">
        <v>2035</v>
      </c>
      <c r="T31" s="947" t="s">
        <v>2035</v>
      </c>
      <c r="U31" s="947" t="s">
        <v>2035</v>
      </c>
      <c r="V31" s="2345"/>
      <c r="W31" s="2332"/>
    </row>
    <row r="32" spans="1:23" s="236" customFormat="1" ht="35.25" customHeight="1">
      <c r="A32" s="2339" t="s">
        <v>2017</v>
      </c>
      <c r="B32" s="2425" t="s">
        <v>3643</v>
      </c>
      <c r="C32" s="2451">
        <v>188701436</v>
      </c>
      <c r="D32" s="1082" t="s">
        <v>471</v>
      </c>
      <c r="E32" s="1051">
        <v>100.96</v>
      </c>
      <c r="F32" s="1052">
        <f>H32/E32-1</f>
        <v>0.12391045958795566</v>
      </c>
      <c r="G32" s="1051">
        <v>104.676</v>
      </c>
      <c r="H32" s="1053">
        <v>113.47</v>
      </c>
      <c r="I32" s="1054">
        <f t="shared" si="2"/>
        <v>8.636644046884645E-2</v>
      </c>
      <c r="J32" s="1085">
        <v>124.69199999999999</v>
      </c>
      <c r="K32" s="1086">
        <v>123.27</v>
      </c>
      <c r="L32" s="1053">
        <f>122.99+0.51</f>
        <v>123.5</v>
      </c>
      <c r="M32" s="1053">
        <v>128.97999999999999</v>
      </c>
      <c r="N32" s="2356" t="s">
        <v>2268</v>
      </c>
      <c r="O32" s="2349" t="s">
        <v>2736</v>
      </c>
      <c r="P32" s="2343" t="s">
        <v>1096</v>
      </c>
      <c r="Q32" s="2343" t="s">
        <v>4225</v>
      </c>
      <c r="R32" s="2343" t="s">
        <v>1338</v>
      </c>
      <c r="S32" s="2343" t="s">
        <v>1338</v>
      </c>
      <c r="T32" s="2343" t="s">
        <v>1409</v>
      </c>
      <c r="U32" s="2343" t="s">
        <v>1409</v>
      </c>
      <c r="V32" s="2345"/>
    </row>
    <row r="33" spans="1:22" s="236" customFormat="1" ht="49.5" customHeight="1">
      <c r="A33" s="2346"/>
      <c r="B33" s="2426"/>
      <c r="C33" s="2452"/>
      <c r="D33" s="1087" t="s">
        <v>1076</v>
      </c>
      <c r="E33" s="1088">
        <f>E32</f>
        <v>100.96</v>
      </c>
      <c r="F33" s="1058">
        <f t="shared" si="5"/>
        <v>0.12391045958795568</v>
      </c>
      <c r="G33" s="1088">
        <f t="shared" ref="G33" si="9">G32</f>
        <v>104.676</v>
      </c>
      <c r="H33" s="1089">
        <f t="shared" ref="H33:M33" si="10">H32</f>
        <v>113.47</v>
      </c>
      <c r="I33" s="1060">
        <f t="shared" si="2"/>
        <v>8.636644046884645E-2</v>
      </c>
      <c r="J33" s="1057">
        <f t="shared" si="10"/>
        <v>124.69199999999999</v>
      </c>
      <c r="K33" s="1059">
        <f t="shared" si="10"/>
        <v>123.27</v>
      </c>
      <c r="L33" s="1059">
        <f t="shared" si="10"/>
        <v>123.5</v>
      </c>
      <c r="M33" s="1059">
        <f t="shared" si="10"/>
        <v>128.97999999999999</v>
      </c>
      <c r="N33" s="2358"/>
      <c r="O33" s="2350"/>
      <c r="P33" s="2344"/>
      <c r="Q33" s="2344"/>
      <c r="R33" s="2344"/>
      <c r="S33" s="2344"/>
      <c r="T33" s="2344"/>
      <c r="U33" s="2344"/>
      <c r="V33" s="2344"/>
    </row>
    <row r="34" spans="1:22" s="236" customFormat="1" ht="27" hidden="1" customHeight="1">
      <c r="A34" s="2339" t="s">
        <v>2018</v>
      </c>
      <c r="B34" s="2386" t="s">
        <v>3003</v>
      </c>
      <c r="C34" s="2393">
        <v>188701436</v>
      </c>
      <c r="D34" s="1035" t="s">
        <v>471</v>
      </c>
      <c r="E34" s="1051">
        <v>139.53</v>
      </c>
      <c r="F34" s="1052">
        <f t="shared" si="5"/>
        <v>-1</v>
      </c>
      <c r="G34" s="1051"/>
      <c r="H34" s="1053"/>
      <c r="I34" s="1054" t="e">
        <f t="shared" si="2"/>
        <v>#DIV/0!</v>
      </c>
      <c r="J34" s="1085"/>
      <c r="K34" s="1086"/>
      <c r="L34" s="1090"/>
      <c r="M34" s="1090"/>
      <c r="N34" s="2356"/>
      <c r="O34" s="2443" t="s">
        <v>2822</v>
      </c>
      <c r="P34" s="2343"/>
      <c r="Q34" s="2354"/>
      <c r="R34" s="2354"/>
      <c r="S34" s="2354"/>
      <c r="T34" s="2354"/>
      <c r="U34" s="2354"/>
      <c r="V34" s="2354"/>
    </row>
    <row r="35" spans="1:22" s="236" customFormat="1" ht="27" hidden="1" customHeight="1">
      <c r="A35" s="2346"/>
      <c r="B35" s="2388"/>
      <c r="C35" s="2442"/>
      <c r="D35" s="1056" t="s">
        <v>1076</v>
      </c>
      <c r="E35" s="1057">
        <f>E34</f>
        <v>139.53</v>
      </c>
      <c r="F35" s="1058">
        <f t="shared" si="5"/>
        <v>-1</v>
      </c>
      <c r="G35" s="1088">
        <f t="shared" ref="G35:L35" si="11">G34</f>
        <v>0</v>
      </c>
      <c r="H35" s="1089">
        <f t="shared" ref="H35" si="12">H34</f>
        <v>0</v>
      </c>
      <c r="I35" s="1054" t="e">
        <f t="shared" si="2"/>
        <v>#DIV/0!</v>
      </c>
      <c r="J35" s="1088"/>
      <c r="K35" s="1089">
        <f t="shared" si="11"/>
        <v>0</v>
      </c>
      <c r="L35" s="1091">
        <f t="shared" si="11"/>
        <v>0</v>
      </c>
      <c r="M35" s="1091">
        <f t="shared" ref="M35" si="13">M34</f>
        <v>0</v>
      </c>
      <c r="N35" s="2358"/>
      <c r="O35" s="2444"/>
      <c r="P35" s="2344"/>
      <c r="Q35" s="2355"/>
      <c r="R35" s="2355"/>
      <c r="S35" s="2355"/>
      <c r="T35" s="2355"/>
      <c r="U35" s="2355"/>
      <c r="V35" s="2355"/>
    </row>
    <row r="36" spans="1:22" s="626" customFormat="1" ht="51.6" customHeight="1">
      <c r="A36" s="1092" t="s">
        <v>2020</v>
      </c>
      <c r="B36" s="976" t="s">
        <v>4226</v>
      </c>
      <c r="C36" s="1093"/>
      <c r="D36" s="1017"/>
      <c r="E36" s="1094">
        <f>SUM(E40,E50,E52,E54,E56,E58,E61,E66,E69,E71,E73,E76,E79,E81,E84,E86,E88,E91,E47,E64)</f>
        <v>491.01599999999996</v>
      </c>
      <c r="F36" s="1047">
        <f>H36/E36-1</f>
        <v>0.14479772553236581</v>
      </c>
      <c r="G36" s="1094">
        <f>SUM(G40,G50,G52,G54,G56,G58,G61,G66,G69,G71,G73,G76,G79,G81,G84,G86,G88,G91,G47)</f>
        <v>525.47099999999989</v>
      </c>
      <c r="H36" s="1095">
        <f>SUM(H40,H50,H52,H54,H56,H58,H61,H66,H69,H71,H73,H76,H79,H81,H84,H86,H88,H91,H47,H64)</f>
        <v>562.11400000000003</v>
      </c>
      <c r="I36" s="1096">
        <f t="shared" si="2"/>
        <v>4.62183827479834E-2</v>
      </c>
      <c r="J36" s="1094">
        <f>SUM(J40,J50,J52,J54,J56,J58,J61,J66,J69,J71,J73,J76,J79,J81,J84,J86,J88,J91,J47,J64)</f>
        <v>386.42299999999994</v>
      </c>
      <c r="K36" s="1095">
        <f>SUM(K40,K50,K52,K54,K56,K58,K61,K66,K69,K71,K73,K76,K79,K81,K84,K86,K88,K91,K47,K64)</f>
        <v>588.09399999999994</v>
      </c>
      <c r="L36" s="1095">
        <f>SUM(L40,L50,L52,L54,L56,L58,L61,L66,L69,L71,L73,L76,L79,L81,L84,L86,L88,L91,L47,L64)</f>
        <v>589.54399999999998</v>
      </c>
      <c r="M36" s="1095">
        <f>SUM(M40,M50,M52,M54,M56,M58,M61,M66,M69,M71,M73,M76,M79,M81,M84,M86,M88,M91,M47,M64)</f>
        <v>604.43399999999997</v>
      </c>
      <c r="N36" s="473" t="s">
        <v>973</v>
      </c>
      <c r="O36" s="998"/>
      <c r="P36" s="970" t="s">
        <v>1111</v>
      </c>
      <c r="Q36" s="970" t="s">
        <v>975</v>
      </c>
      <c r="R36" s="999" t="s">
        <v>4</v>
      </c>
      <c r="S36" s="999" t="s">
        <v>1340</v>
      </c>
      <c r="T36" s="1000" t="s">
        <v>1340</v>
      </c>
      <c r="U36" s="1000" t="s">
        <v>1340</v>
      </c>
      <c r="V36" s="970" t="s">
        <v>975</v>
      </c>
    </row>
    <row r="37" spans="1:22" s="236" customFormat="1" ht="27.75" customHeight="1">
      <c r="A37" s="2339" t="s">
        <v>2019</v>
      </c>
      <c r="B37" s="2386" t="s">
        <v>581</v>
      </c>
      <c r="C37" s="2423">
        <v>188711925</v>
      </c>
      <c r="D37" s="1098" t="s">
        <v>1081</v>
      </c>
      <c r="E37" s="1099">
        <v>20</v>
      </c>
      <c r="F37" s="1052">
        <f>H37/E37-1</f>
        <v>0</v>
      </c>
      <c r="G37" s="1099">
        <f>G41</f>
        <v>19.395</v>
      </c>
      <c r="H37" s="1100">
        <v>20</v>
      </c>
      <c r="I37" s="1054">
        <f>K37/H37-1</f>
        <v>0</v>
      </c>
      <c r="J37" s="1099">
        <v>20</v>
      </c>
      <c r="K37" s="1100">
        <v>20</v>
      </c>
      <c r="L37" s="1100">
        <v>20</v>
      </c>
      <c r="M37" s="1100">
        <v>20</v>
      </c>
      <c r="N37" s="2356" t="s">
        <v>2270</v>
      </c>
      <c r="O37" s="2349" t="s">
        <v>3004</v>
      </c>
      <c r="P37" s="2343" t="s">
        <v>1097</v>
      </c>
      <c r="Q37" s="2343" t="s">
        <v>3036</v>
      </c>
      <c r="R37" s="2343" t="s">
        <v>1970</v>
      </c>
      <c r="S37" s="2343" t="s">
        <v>1971</v>
      </c>
      <c r="T37" s="2343" t="s">
        <v>1946</v>
      </c>
      <c r="U37" s="2343" t="s">
        <v>1946</v>
      </c>
      <c r="V37" s="2343" t="s">
        <v>2271</v>
      </c>
    </row>
    <row r="38" spans="1:22" s="236" customFormat="1" ht="24.75" customHeight="1">
      <c r="A38" s="2340"/>
      <c r="B38" s="2387"/>
      <c r="C38" s="2382"/>
      <c r="D38" s="1082" t="s">
        <v>471</v>
      </c>
      <c r="E38" s="1051">
        <v>22.96</v>
      </c>
      <c r="F38" s="1052">
        <f>H38/E38-1</f>
        <v>0.24172473867595823</v>
      </c>
      <c r="G38" s="1051">
        <f>G42+G43</f>
        <v>27.315000000000001</v>
      </c>
      <c r="H38" s="1053">
        <f>H42</f>
        <v>28.51</v>
      </c>
      <c r="I38" s="1054">
        <f t="shared" si="2"/>
        <v>-0.6597685022799018</v>
      </c>
      <c r="J38" s="1051">
        <v>8.2050000000000001</v>
      </c>
      <c r="K38" s="1053">
        <v>9.6999999999999993</v>
      </c>
      <c r="L38" s="1053">
        <v>9.7100000000000009</v>
      </c>
      <c r="M38" s="1053">
        <v>10.19</v>
      </c>
      <c r="N38" s="2357"/>
      <c r="O38" s="2363"/>
      <c r="P38" s="2345"/>
      <c r="Q38" s="2344"/>
      <c r="R38" s="2344"/>
      <c r="S38" s="2344"/>
      <c r="T38" s="2344"/>
      <c r="U38" s="2344"/>
      <c r="V38" s="2345"/>
    </row>
    <row r="39" spans="1:22" s="236" customFormat="1" ht="27" hidden="1" customHeight="1">
      <c r="A39" s="2340"/>
      <c r="B39" s="2387"/>
      <c r="C39" s="2382"/>
      <c r="D39" s="1082" t="s">
        <v>1079</v>
      </c>
      <c r="E39" s="1051">
        <v>0.626</v>
      </c>
      <c r="F39" s="1052">
        <f>H39/E39-1</f>
        <v>-1</v>
      </c>
      <c r="G39" s="1051">
        <f>G44</f>
        <v>0</v>
      </c>
      <c r="H39" s="1053">
        <f>H44</f>
        <v>0</v>
      </c>
      <c r="I39" s="1054"/>
      <c r="J39" s="1051"/>
      <c r="K39" s="1053"/>
      <c r="L39" s="1053"/>
      <c r="M39" s="1053"/>
      <c r="N39" s="2357"/>
      <c r="O39" s="2363"/>
      <c r="P39" s="2345"/>
      <c r="Q39" s="2343" t="s">
        <v>3037</v>
      </c>
      <c r="R39" s="2343" t="s">
        <v>1349</v>
      </c>
      <c r="S39" s="2343" t="s">
        <v>1349</v>
      </c>
      <c r="T39" s="2343" t="s">
        <v>1349</v>
      </c>
      <c r="U39" s="2343" t="s">
        <v>1349</v>
      </c>
      <c r="V39" s="2345"/>
    </row>
    <row r="40" spans="1:22" s="236" customFormat="1" ht="42.75" customHeight="1">
      <c r="A40" s="2346"/>
      <c r="B40" s="2388"/>
      <c r="C40" s="2424"/>
      <c r="D40" s="1083" t="s">
        <v>1076</v>
      </c>
      <c r="E40" s="1057">
        <f>SUM(E37:E39)</f>
        <v>43.585999999999999</v>
      </c>
      <c r="F40" s="1058">
        <f t="shared" si="5"/>
        <v>0.11297205524709784</v>
      </c>
      <c r="G40" s="1057">
        <f>SUM(G37:G39)</f>
        <v>46.71</v>
      </c>
      <c r="H40" s="1059">
        <f>SUM(H37:H39)</f>
        <v>48.510000000000005</v>
      </c>
      <c r="I40" s="1060">
        <f t="shared" si="2"/>
        <v>-0.38775510204081642</v>
      </c>
      <c r="J40" s="1057">
        <f t="shared" ref="J40:M40" si="14">SUM(J37:J39)</f>
        <v>28.204999999999998</v>
      </c>
      <c r="K40" s="1059">
        <f t="shared" si="14"/>
        <v>29.7</v>
      </c>
      <c r="L40" s="1059">
        <f t="shared" si="14"/>
        <v>29.71</v>
      </c>
      <c r="M40" s="1059">
        <f t="shared" si="14"/>
        <v>30.189999999999998</v>
      </c>
      <c r="N40" s="2358"/>
      <c r="O40" s="2350"/>
      <c r="P40" s="2344"/>
      <c r="Q40" s="2344"/>
      <c r="R40" s="2344"/>
      <c r="S40" s="2344"/>
      <c r="T40" s="2344"/>
      <c r="U40" s="2344"/>
      <c r="V40" s="2344"/>
    </row>
    <row r="41" spans="1:22" s="236" customFormat="1" ht="27" hidden="1" customHeight="1">
      <c r="A41" s="2339"/>
      <c r="B41" s="2438" t="s">
        <v>506</v>
      </c>
      <c r="C41" s="2440">
        <v>188711925</v>
      </c>
      <c r="D41" s="1101" t="s">
        <v>1081</v>
      </c>
      <c r="E41" s="1102"/>
      <c r="F41" s="1103"/>
      <c r="G41" s="1102">
        <v>19.395</v>
      </c>
      <c r="H41" s="1001">
        <v>0</v>
      </c>
      <c r="I41" s="1054" t="e">
        <f t="shared" si="2"/>
        <v>#DIV/0!</v>
      </c>
      <c r="J41" s="1104"/>
      <c r="K41" s="1105">
        <v>0</v>
      </c>
      <c r="L41" s="1001">
        <v>0</v>
      </c>
      <c r="M41" s="1001">
        <v>0</v>
      </c>
      <c r="N41" s="179"/>
      <c r="O41" s="1001"/>
      <c r="P41" s="1002"/>
      <c r="Q41" s="1002"/>
      <c r="R41" s="1002"/>
      <c r="S41" s="1002"/>
      <c r="T41" s="1003"/>
      <c r="U41" s="1003"/>
      <c r="V41" s="1004"/>
    </row>
    <row r="42" spans="1:22" s="236" customFormat="1" ht="27" hidden="1" customHeight="1">
      <c r="A42" s="2346"/>
      <c r="B42" s="2439"/>
      <c r="C42" s="2441"/>
      <c r="D42" s="1101" t="s">
        <v>471</v>
      </c>
      <c r="E42" s="1102"/>
      <c r="F42" s="1103"/>
      <c r="G42" s="1102">
        <v>27.315000000000001</v>
      </c>
      <c r="H42" s="1001">
        <v>28.51</v>
      </c>
      <c r="I42" s="1054">
        <f t="shared" si="2"/>
        <v>-1</v>
      </c>
      <c r="J42" s="1104"/>
      <c r="K42" s="1105">
        <v>0</v>
      </c>
      <c r="L42" s="1001">
        <v>0</v>
      </c>
      <c r="M42" s="1001">
        <v>0</v>
      </c>
      <c r="N42" s="179"/>
      <c r="O42" s="1001"/>
      <c r="P42" s="1002"/>
      <c r="Q42" s="1002"/>
      <c r="R42" s="1002"/>
      <c r="S42" s="1002"/>
      <c r="T42" s="1003"/>
      <c r="U42" s="1003"/>
      <c r="V42" s="1004"/>
    </row>
    <row r="43" spans="1:22" s="236" customFormat="1" ht="27" hidden="1" customHeight="1">
      <c r="A43" s="2339"/>
      <c r="B43" s="2438" t="s">
        <v>1082</v>
      </c>
      <c r="C43" s="2440">
        <v>190243519</v>
      </c>
      <c r="D43" s="1101" t="s">
        <v>471</v>
      </c>
      <c r="E43" s="1102"/>
      <c r="F43" s="1103"/>
      <c r="G43" s="1102"/>
      <c r="H43" s="1001"/>
      <c r="I43" s="1054" t="e">
        <f t="shared" si="2"/>
        <v>#DIV/0!</v>
      </c>
      <c r="J43" s="1104"/>
      <c r="K43" s="1106"/>
      <c r="L43" s="1005"/>
      <c r="M43" s="1005"/>
      <c r="N43" s="179"/>
      <c r="O43" s="1005"/>
      <c r="P43" s="1002"/>
      <c r="Q43" s="1002"/>
      <c r="R43" s="1002"/>
      <c r="S43" s="1002"/>
      <c r="T43" s="1003"/>
      <c r="U43" s="1003"/>
      <c r="V43" s="1004"/>
    </row>
    <row r="44" spans="1:22" s="236" customFormat="1" ht="27" hidden="1" customHeight="1">
      <c r="A44" s="2346"/>
      <c r="B44" s="2439"/>
      <c r="C44" s="2441"/>
      <c r="D44" s="1101" t="s">
        <v>1079</v>
      </c>
      <c r="E44" s="1102"/>
      <c r="F44" s="1103"/>
      <c r="G44" s="1102"/>
      <c r="H44" s="1102"/>
      <c r="I44" s="1054" t="e">
        <f t="shared" si="2"/>
        <v>#DIV/0!</v>
      </c>
      <c r="J44" s="1104"/>
      <c r="K44" s="1318"/>
      <c r="L44" s="1319"/>
      <c r="M44" s="1319"/>
      <c r="N44" s="179"/>
      <c r="O44" s="1001"/>
      <c r="P44" s="1002"/>
      <c r="Q44" s="1002"/>
      <c r="R44" s="1002"/>
      <c r="S44" s="1002"/>
      <c r="T44" s="1003"/>
      <c r="U44" s="1003"/>
      <c r="V44" s="1004"/>
    </row>
    <row r="45" spans="1:22" s="236" customFormat="1" ht="31.5" customHeight="1">
      <c r="A45" s="2339" t="s">
        <v>2860</v>
      </c>
      <c r="B45" s="2386" t="s">
        <v>582</v>
      </c>
      <c r="C45" s="2333">
        <v>188711925</v>
      </c>
      <c r="D45" s="1082" t="s">
        <v>1081</v>
      </c>
      <c r="E45" s="1051">
        <v>25.3</v>
      </c>
      <c r="F45" s="1052">
        <f t="shared" si="5"/>
        <v>1.9762845849802372E-2</v>
      </c>
      <c r="G45" s="1051">
        <v>25.17</v>
      </c>
      <c r="H45" s="1053">
        <v>25.8</v>
      </c>
      <c r="I45" s="1054">
        <f t="shared" si="2"/>
        <v>1.9379844961240345E-2</v>
      </c>
      <c r="J45" s="1317"/>
      <c r="K45" s="1320">
        <v>26.3</v>
      </c>
      <c r="L45" s="1320">
        <v>26.3</v>
      </c>
      <c r="M45" s="1320">
        <v>26.3</v>
      </c>
      <c r="N45" s="2364" t="s">
        <v>2267</v>
      </c>
      <c r="O45" s="2349" t="s">
        <v>2888</v>
      </c>
      <c r="P45" s="2343" t="s">
        <v>1112</v>
      </c>
      <c r="Q45" s="2343" t="s">
        <v>2462</v>
      </c>
      <c r="R45" s="2343" t="s">
        <v>1972</v>
      </c>
      <c r="S45" s="2343" t="s">
        <v>3397</v>
      </c>
      <c r="T45" s="2343" t="s">
        <v>1470</v>
      </c>
      <c r="U45" s="2343" t="s">
        <v>1470</v>
      </c>
      <c r="V45" s="2343" t="s">
        <v>3038</v>
      </c>
    </row>
    <row r="46" spans="1:22" s="236" customFormat="1" ht="42.6" customHeight="1">
      <c r="A46" s="2340"/>
      <c r="B46" s="2387"/>
      <c r="C46" s="2334"/>
      <c r="D46" s="1082" t="s">
        <v>471</v>
      </c>
      <c r="E46" s="1051">
        <v>38.07</v>
      </c>
      <c r="F46" s="1052">
        <f t="shared" si="5"/>
        <v>9.9290780141844004E-2</v>
      </c>
      <c r="G46" s="1051">
        <v>49.564999999999998</v>
      </c>
      <c r="H46" s="1053">
        <v>41.85</v>
      </c>
      <c r="I46" s="1054">
        <f t="shared" si="2"/>
        <v>0.20286738351254474</v>
      </c>
      <c r="J46" s="1051">
        <v>49.634999999999998</v>
      </c>
      <c r="K46" s="1116">
        <v>50.34</v>
      </c>
      <c r="L46" s="1117">
        <v>50.7</v>
      </c>
      <c r="M46" s="1117">
        <v>52.99</v>
      </c>
      <c r="N46" s="2357"/>
      <c r="O46" s="2363"/>
      <c r="P46" s="2345"/>
      <c r="Q46" s="2345"/>
      <c r="R46" s="2345"/>
      <c r="S46" s="2345"/>
      <c r="T46" s="2345"/>
      <c r="U46" s="2345"/>
      <c r="V46" s="2345"/>
    </row>
    <row r="47" spans="1:22" s="236" customFormat="1" ht="29.25" customHeight="1">
      <c r="A47" s="2346"/>
      <c r="B47" s="2388"/>
      <c r="C47" s="2335"/>
      <c r="D47" s="1108" t="s">
        <v>1076</v>
      </c>
      <c r="E47" s="1057">
        <f>SUM(E45:E46)</f>
        <v>63.370000000000005</v>
      </c>
      <c r="F47" s="1058">
        <f t="shared" si="5"/>
        <v>6.7539845352690558E-2</v>
      </c>
      <c r="G47" s="1057">
        <f t="shared" ref="G47" si="15">SUM(G45:G46)</f>
        <v>74.734999999999999</v>
      </c>
      <c r="H47" s="1059">
        <f t="shared" ref="H47:M47" si="16">SUM(H45:H46)</f>
        <v>67.650000000000006</v>
      </c>
      <c r="I47" s="1060">
        <f t="shared" si="2"/>
        <v>0.13288987435328892</v>
      </c>
      <c r="J47" s="1057">
        <f t="shared" si="16"/>
        <v>49.634999999999998</v>
      </c>
      <c r="K47" s="1059">
        <f t="shared" si="16"/>
        <v>76.64</v>
      </c>
      <c r="L47" s="1059">
        <f t="shared" si="16"/>
        <v>77</v>
      </c>
      <c r="M47" s="1059">
        <f t="shared" si="16"/>
        <v>79.290000000000006</v>
      </c>
      <c r="N47" s="2357"/>
      <c r="O47" s="2350"/>
      <c r="P47" s="2344"/>
      <c r="Q47" s="2344"/>
      <c r="R47" s="2344"/>
      <c r="S47" s="2344"/>
      <c r="T47" s="2344"/>
      <c r="U47" s="2344"/>
      <c r="V47" s="2345"/>
    </row>
    <row r="48" spans="1:22" s="236" customFormat="1" ht="30.75" customHeight="1">
      <c r="A48" s="2339" t="s">
        <v>2859</v>
      </c>
      <c r="B48" s="2386" t="s">
        <v>288</v>
      </c>
      <c r="C48" s="2381">
        <v>188711925</v>
      </c>
      <c r="D48" s="1082" t="s">
        <v>1081</v>
      </c>
      <c r="E48" s="1051">
        <v>4.42</v>
      </c>
      <c r="F48" s="1052">
        <f t="shared" si="5"/>
        <v>0.11425339366515835</v>
      </c>
      <c r="G48" s="1051">
        <v>3.98</v>
      </c>
      <c r="H48" s="1053">
        <v>4.9249999999999998</v>
      </c>
      <c r="I48" s="1054">
        <f t="shared" si="2"/>
        <v>0.27065989847715732</v>
      </c>
      <c r="J48" s="1051"/>
      <c r="K48" s="1107">
        <v>6.258</v>
      </c>
      <c r="L48" s="1107">
        <v>6.258</v>
      </c>
      <c r="M48" s="1107">
        <v>6.258</v>
      </c>
      <c r="N48" s="2357"/>
      <c r="O48" s="2349" t="s">
        <v>2463</v>
      </c>
      <c r="P48" s="2343" t="s">
        <v>1152</v>
      </c>
      <c r="Q48" s="2343" t="s">
        <v>1980</v>
      </c>
      <c r="R48" s="2343">
        <v>100</v>
      </c>
      <c r="S48" s="2343">
        <v>100</v>
      </c>
      <c r="T48" s="2343">
        <v>100</v>
      </c>
      <c r="U48" s="2343">
        <v>100</v>
      </c>
      <c r="V48" s="2345"/>
    </row>
    <row r="49" spans="1:22" s="236" customFormat="1" ht="25.5" customHeight="1">
      <c r="A49" s="2340"/>
      <c r="B49" s="2387"/>
      <c r="C49" s="2382"/>
      <c r="D49" s="1082" t="s">
        <v>471</v>
      </c>
      <c r="E49" s="1051">
        <v>188.15</v>
      </c>
      <c r="F49" s="1052">
        <f t="shared" si="5"/>
        <v>0.12017007706617053</v>
      </c>
      <c r="G49" s="1051">
        <v>209.41499999999999</v>
      </c>
      <c r="H49" s="1053">
        <v>210.76</v>
      </c>
      <c r="I49" s="1054">
        <f t="shared" si="2"/>
        <v>7.2309736192825991E-2</v>
      </c>
      <c r="J49" s="1051">
        <v>238.45</v>
      </c>
      <c r="K49" s="1107">
        <v>226</v>
      </c>
      <c r="L49" s="1090">
        <v>227.07</v>
      </c>
      <c r="M49" s="1090">
        <v>237.69</v>
      </c>
      <c r="N49" s="2357"/>
      <c r="O49" s="2363"/>
      <c r="P49" s="2345"/>
      <c r="Q49" s="2345"/>
      <c r="R49" s="2345"/>
      <c r="S49" s="2345"/>
      <c r="T49" s="2345"/>
      <c r="U49" s="2345"/>
      <c r="V49" s="2345"/>
    </row>
    <row r="50" spans="1:22" s="236" customFormat="1" ht="37.5" customHeight="1">
      <c r="A50" s="2346"/>
      <c r="B50" s="2388"/>
      <c r="C50" s="2424"/>
      <c r="D50" s="1083" t="s">
        <v>1076</v>
      </c>
      <c r="E50" s="1057">
        <f>SUM(E48:E49)</f>
        <v>192.57</v>
      </c>
      <c r="F50" s="1058">
        <f t="shared" si="5"/>
        <v>0.1200342732512853</v>
      </c>
      <c r="G50" s="1057">
        <f>G48+G49</f>
        <v>213.39499999999998</v>
      </c>
      <c r="H50" s="1059">
        <f>H48+H49</f>
        <v>215.685</v>
      </c>
      <c r="I50" s="1060">
        <f t="shared" si="2"/>
        <v>7.6838908593550803E-2</v>
      </c>
      <c r="J50" s="1057">
        <f t="shared" ref="J50:M50" si="17">J48+J49</f>
        <v>238.45</v>
      </c>
      <c r="K50" s="1059">
        <f t="shared" si="17"/>
        <v>232.25800000000001</v>
      </c>
      <c r="L50" s="1059">
        <f t="shared" si="17"/>
        <v>233.328</v>
      </c>
      <c r="M50" s="1059">
        <f t="shared" si="17"/>
        <v>243.94800000000001</v>
      </c>
      <c r="N50" s="2358"/>
      <c r="O50" s="2350"/>
      <c r="P50" s="2344"/>
      <c r="Q50" s="2344"/>
      <c r="R50" s="2344"/>
      <c r="S50" s="2344"/>
      <c r="T50" s="2344"/>
      <c r="U50" s="2344"/>
      <c r="V50" s="2344"/>
    </row>
    <row r="51" spans="1:22" s="236" customFormat="1" ht="48.6" customHeight="1">
      <c r="A51" s="2339" t="s">
        <v>2858</v>
      </c>
      <c r="B51" s="2386" t="s">
        <v>370</v>
      </c>
      <c r="C51" s="2381">
        <v>188711925</v>
      </c>
      <c r="D51" s="1082" t="s">
        <v>1081</v>
      </c>
      <c r="E51" s="1051">
        <v>17.899999999999999</v>
      </c>
      <c r="F51" s="1052">
        <f t="shared" si="5"/>
        <v>4.4692737430167641E-2</v>
      </c>
      <c r="G51" s="1051">
        <v>25.466000000000001</v>
      </c>
      <c r="H51" s="1053">
        <v>18.7</v>
      </c>
      <c r="I51" s="1054">
        <f t="shared" si="2"/>
        <v>0</v>
      </c>
      <c r="J51" s="1051">
        <v>18.7</v>
      </c>
      <c r="K51" s="1107">
        <v>18.7</v>
      </c>
      <c r="L51" s="1090">
        <v>18.7</v>
      </c>
      <c r="M51" s="1090">
        <v>18.7</v>
      </c>
      <c r="N51" s="2356" t="s">
        <v>2272</v>
      </c>
      <c r="O51" s="2349" t="s">
        <v>2889</v>
      </c>
      <c r="P51" s="2343" t="s">
        <v>1153</v>
      </c>
      <c r="Q51" s="2343" t="s">
        <v>1098</v>
      </c>
      <c r="R51" s="2343" t="s">
        <v>1820</v>
      </c>
      <c r="S51" s="2343" t="s">
        <v>1110</v>
      </c>
      <c r="T51" s="2343" t="s">
        <v>1110</v>
      </c>
      <c r="U51" s="2343" t="s">
        <v>1110</v>
      </c>
      <c r="V51" s="947" t="s">
        <v>3039</v>
      </c>
    </row>
    <row r="52" spans="1:22" s="236" customFormat="1" ht="53.45" customHeight="1">
      <c r="A52" s="2346"/>
      <c r="B52" s="2388"/>
      <c r="C52" s="2424"/>
      <c r="D52" s="1083" t="s">
        <v>1076</v>
      </c>
      <c r="E52" s="1057">
        <f>E51</f>
        <v>17.899999999999999</v>
      </c>
      <c r="F52" s="1058">
        <f t="shared" si="5"/>
        <v>4.4692737430167641E-2</v>
      </c>
      <c r="G52" s="1057">
        <f>G51</f>
        <v>25.466000000000001</v>
      </c>
      <c r="H52" s="1059">
        <f>H51</f>
        <v>18.7</v>
      </c>
      <c r="I52" s="1060">
        <f t="shared" si="2"/>
        <v>0</v>
      </c>
      <c r="J52" s="1057">
        <f t="shared" ref="J52:M52" si="18">J51</f>
        <v>18.7</v>
      </c>
      <c r="K52" s="1059">
        <f t="shared" si="18"/>
        <v>18.7</v>
      </c>
      <c r="L52" s="1059">
        <f t="shared" si="18"/>
        <v>18.7</v>
      </c>
      <c r="M52" s="1059">
        <f t="shared" si="18"/>
        <v>18.7</v>
      </c>
      <c r="N52" s="2358"/>
      <c r="O52" s="2350"/>
      <c r="P52" s="2344"/>
      <c r="Q52" s="2344"/>
      <c r="R52" s="2344"/>
      <c r="S52" s="2344"/>
      <c r="T52" s="2344"/>
      <c r="U52" s="2344"/>
      <c r="V52" s="947" t="s">
        <v>3040</v>
      </c>
    </row>
    <row r="53" spans="1:22" s="236" customFormat="1" ht="30.75" customHeight="1">
      <c r="A53" s="2339" t="s">
        <v>2857</v>
      </c>
      <c r="B53" s="2386" t="s">
        <v>707</v>
      </c>
      <c r="C53" s="2381">
        <v>188711925</v>
      </c>
      <c r="D53" s="1082" t="s">
        <v>1081</v>
      </c>
      <c r="E53" s="1051">
        <v>2.2000000000000002</v>
      </c>
      <c r="F53" s="1052">
        <f t="shared" si="5"/>
        <v>0</v>
      </c>
      <c r="G53" s="1051">
        <v>2.5299999999999998</v>
      </c>
      <c r="H53" s="1053">
        <v>2.2000000000000002</v>
      </c>
      <c r="I53" s="1054">
        <f>K53/H53-1</f>
        <v>0</v>
      </c>
      <c r="J53" s="1051">
        <v>2.2000000000000002</v>
      </c>
      <c r="K53" s="1107">
        <v>2.2000000000000002</v>
      </c>
      <c r="L53" s="1090">
        <v>2.2000000000000002</v>
      </c>
      <c r="M53" s="1090">
        <v>2.2000000000000002</v>
      </c>
      <c r="N53" s="2356" t="s">
        <v>2267</v>
      </c>
      <c r="O53" s="2349" t="s">
        <v>2890</v>
      </c>
      <c r="P53" s="2343" t="s">
        <v>1155</v>
      </c>
      <c r="Q53" s="2343" t="s">
        <v>1099</v>
      </c>
      <c r="R53" s="2343" t="s">
        <v>4</v>
      </c>
      <c r="S53" s="2343" t="s">
        <v>4</v>
      </c>
      <c r="T53" s="2343" t="s">
        <v>4</v>
      </c>
      <c r="U53" s="2343" t="s">
        <v>4</v>
      </c>
      <c r="V53" s="2343" t="s">
        <v>3041</v>
      </c>
    </row>
    <row r="54" spans="1:22" s="236" customFormat="1" ht="45.6" customHeight="1">
      <c r="A54" s="2346"/>
      <c r="B54" s="2388"/>
      <c r="C54" s="2424"/>
      <c r="D54" s="1083" t="s">
        <v>1076</v>
      </c>
      <c r="E54" s="1057">
        <f>E53</f>
        <v>2.2000000000000002</v>
      </c>
      <c r="F54" s="1058">
        <f t="shared" si="5"/>
        <v>0</v>
      </c>
      <c r="G54" s="1057">
        <f>G53</f>
        <v>2.5299999999999998</v>
      </c>
      <c r="H54" s="1059">
        <f>H53</f>
        <v>2.2000000000000002</v>
      </c>
      <c r="I54" s="1060">
        <f>K54/H54-1</f>
        <v>0</v>
      </c>
      <c r="J54" s="1057">
        <f t="shared" ref="J54:M54" si="19">J53</f>
        <v>2.2000000000000002</v>
      </c>
      <c r="K54" s="1059">
        <f t="shared" si="19"/>
        <v>2.2000000000000002</v>
      </c>
      <c r="L54" s="1059">
        <f t="shared" si="19"/>
        <v>2.2000000000000002</v>
      </c>
      <c r="M54" s="1059">
        <f t="shared" si="19"/>
        <v>2.2000000000000002</v>
      </c>
      <c r="N54" s="2357"/>
      <c r="O54" s="2350"/>
      <c r="P54" s="2344"/>
      <c r="Q54" s="2344"/>
      <c r="R54" s="2344"/>
      <c r="S54" s="2344"/>
      <c r="T54" s="2344"/>
      <c r="U54" s="2344"/>
      <c r="V54" s="2345"/>
    </row>
    <row r="55" spans="1:22" s="236" customFormat="1" ht="30" customHeight="1">
      <c r="A55" s="2339" t="s">
        <v>2856</v>
      </c>
      <c r="B55" s="2386" t="s">
        <v>371</v>
      </c>
      <c r="C55" s="2381">
        <v>188711925</v>
      </c>
      <c r="D55" s="1082" t="s">
        <v>1081</v>
      </c>
      <c r="E55" s="1051">
        <v>0.4</v>
      </c>
      <c r="F55" s="1052">
        <f t="shared" si="5"/>
        <v>0</v>
      </c>
      <c r="G55" s="1051">
        <v>0.4</v>
      </c>
      <c r="H55" s="1053">
        <v>0.4</v>
      </c>
      <c r="I55" s="1054">
        <f t="shared" si="2"/>
        <v>-0.10000000000000009</v>
      </c>
      <c r="J55" s="1051"/>
      <c r="K55" s="1107">
        <v>0.36</v>
      </c>
      <c r="L55" s="1090">
        <v>0.36</v>
      </c>
      <c r="M55" s="1090">
        <v>0.36</v>
      </c>
      <c r="N55" s="2357"/>
      <c r="O55" s="2349" t="s">
        <v>2891</v>
      </c>
      <c r="P55" s="2343" t="s">
        <v>1156</v>
      </c>
      <c r="Q55" s="2343" t="s">
        <v>2273</v>
      </c>
      <c r="R55" s="2343" t="s">
        <v>1973</v>
      </c>
      <c r="S55" s="2343" t="s">
        <v>1974</v>
      </c>
      <c r="T55" s="2343" t="s">
        <v>1975</v>
      </c>
      <c r="U55" s="2343" t="s">
        <v>1975</v>
      </c>
      <c r="V55" s="2345"/>
    </row>
    <row r="56" spans="1:22" s="236" customFormat="1" ht="42.6" customHeight="1">
      <c r="A56" s="2346"/>
      <c r="B56" s="2388"/>
      <c r="C56" s="2424"/>
      <c r="D56" s="1083" t="s">
        <v>1076</v>
      </c>
      <c r="E56" s="1057">
        <f>E55</f>
        <v>0.4</v>
      </c>
      <c r="F56" s="1058">
        <f t="shared" si="5"/>
        <v>0</v>
      </c>
      <c r="G56" s="1057">
        <f>G55</f>
        <v>0.4</v>
      </c>
      <c r="H56" s="1059">
        <f>H55</f>
        <v>0.4</v>
      </c>
      <c r="I56" s="1060">
        <f t="shared" si="2"/>
        <v>-0.10000000000000009</v>
      </c>
      <c r="J56" s="1057">
        <f t="shared" ref="J56:M56" si="20">J55</f>
        <v>0</v>
      </c>
      <c r="K56" s="1059">
        <f t="shared" si="20"/>
        <v>0.36</v>
      </c>
      <c r="L56" s="1059">
        <f t="shared" si="20"/>
        <v>0.36</v>
      </c>
      <c r="M56" s="1059">
        <f t="shared" si="20"/>
        <v>0.36</v>
      </c>
      <c r="N56" s="2357"/>
      <c r="O56" s="2350"/>
      <c r="P56" s="2344"/>
      <c r="Q56" s="2344"/>
      <c r="R56" s="2344"/>
      <c r="S56" s="2344"/>
      <c r="T56" s="2344"/>
      <c r="U56" s="2344"/>
      <c r="V56" s="2345"/>
    </row>
    <row r="57" spans="1:22" s="236" customFormat="1" ht="26.25" customHeight="1">
      <c r="A57" s="2339" t="s">
        <v>2855</v>
      </c>
      <c r="B57" s="2386" t="s">
        <v>706</v>
      </c>
      <c r="C57" s="2381">
        <v>188711925</v>
      </c>
      <c r="D57" s="1082" t="s">
        <v>1081</v>
      </c>
      <c r="E57" s="1051">
        <v>0.1</v>
      </c>
      <c r="F57" s="1052">
        <f t="shared" si="5"/>
        <v>0</v>
      </c>
      <c r="G57" s="1051">
        <v>0.1</v>
      </c>
      <c r="H57" s="1053">
        <v>0.1</v>
      </c>
      <c r="I57" s="1054">
        <f t="shared" si="2"/>
        <v>0</v>
      </c>
      <c r="J57" s="1051"/>
      <c r="K57" s="1053">
        <v>0.1</v>
      </c>
      <c r="L57" s="1053">
        <v>0.1</v>
      </c>
      <c r="M57" s="1053">
        <v>0.1</v>
      </c>
      <c r="N57" s="2357"/>
      <c r="O57" s="2349" t="s">
        <v>2892</v>
      </c>
      <c r="P57" s="2343" t="s">
        <v>1157</v>
      </c>
      <c r="Q57" s="2343" t="s">
        <v>1981</v>
      </c>
      <c r="R57" s="2343">
        <v>100</v>
      </c>
      <c r="S57" s="2343">
        <v>100</v>
      </c>
      <c r="T57" s="2343">
        <v>100</v>
      </c>
      <c r="U57" s="2343">
        <v>100</v>
      </c>
      <c r="V57" s="2345"/>
    </row>
    <row r="58" spans="1:22" s="236" customFormat="1" ht="39.6" customHeight="1">
      <c r="A58" s="2346"/>
      <c r="B58" s="2388"/>
      <c r="C58" s="2424"/>
      <c r="D58" s="1083" t="s">
        <v>1076</v>
      </c>
      <c r="E58" s="1057">
        <f>E57</f>
        <v>0.1</v>
      </c>
      <c r="F58" s="1058">
        <f t="shared" si="5"/>
        <v>0</v>
      </c>
      <c r="G58" s="1057">
        <f>G57</f>
        <v>0.1</v>
      </c>
      <c r="H58" s="1059">
        <f>H57</f>
        <v>0.1</v>
      </c>
      <c r="I58" s="1060">
        <f t="shared" si="2"/>
        <v>0</v>
      </c>
      <c r="J58" s="1057">
        <f t="shared" ref="J58:M58" si="21">J57</f>
        <v>0</v>
      </c>
      <c r="K58" s="1059">
        <f t="shared" si="21"/>
        <v>0.1</v>
      </c>
      <c r="L58" s="1059">
        <f t="shared" si="21"/>
        <v>0.1</v>
      </c>
      <c r="M58" s="1059">
        <f t="shared" si="21"/>
        <v>0.1</v>
      </c>
      <c r="N58" s="2357"/>
      <c r="O58" s="2350"/>
      <c r="P58" s="2344"/>
      <c r="Q58" s="2344"/>
      <c r="R58" s="2344"/>
      <c r="S58" s="2344"/>
      <c r="T58" s="2344"/>
      <c r="U58" s="2344"/>
      <c r="V58" s="2345"/>
    </row>
    <row r="59" spans="1:22" s="236" customFormat="1" ht="27.75" customHeight="1">
      <c r="A59" s="2339" t="s">
        <v>3027</v>
      </c>
      <c r="B59" s="2386" t="s">
        <v>597</v>
      </c>
      <c r="C59" s="2381">
        <v>188711925</v>
      </c>
      <c r="D59" s="1082" t="s">
        <v>1081</v>
      </c>
      <c r="E59" s="1051">
        <v>16.39</v>
      </c>
      <c r="F59" s="1052">
        <f t="shared" si="5"/>
        <v>7.6266015863331302E-2</v>
      </c>
      <c r="G59" s="1051">
        <v>16.55</v>
      </c>
      <c r="H59" s="1053">
        <v>17.64</v>
      </c>
      <c r="I59" s="1054">
        <f t="shared" si="2"/>
        <v>-4.4217687074829981E-2</v>
      </c>
      <c r="J59" s="1051"/>
      <c r="K59" s="1107">
        <v>16.86</v>
      </c>
      <c r="L59" s="1107">
        <v>16.86</v>
      </c>
      <c r="M59" s="1107">
        <v>16.86</v>
      </c>
      <c r="N59" s="2357"/>
      <c r="O59" s="2349" t="s">
        <v>2464</v>
      </c>
      <c r="P59" s="2343" t="s">
        <v>1158</v>
      </c>
      <c r="Q59" s="2343" t="s">
        <v>1982</v>
      </c>
      <c r="R59" s="2343">
        <v>100</v>
      </c>
      <c r="S59" s="2343">
        <v>100</v>
      </c>
      <c r="T59" s="2343">
        <v>100</v>
      </c>
      <c r="U59" s="2343">
        <v>100</v>
      </c>
      <c r="V59" s="2345"/>
    </row>
    <row r="60" spans="1:22" s="236" customFormat="1" ht="27.75" customHeight="1">
      <c r="A60" s="2340"/>
      <c r="B60" s="2387"/>
      <c r="C60" s="2382"/>
      <c r="D60" s="1082" t="s">
        <v>471</v>
      </c>
      <c r="E60" s="1051"/>
      <c r="F60" s="1052"/>
      <c r="G60" s="1051"/>
      <c r="H60" s="1109"/>
      <c r="I60" s="1054"/>
      <c r="J60" s="1051"/>
      <c r="K60" s="1107"/>
      <c r="L60" s="1090"/>
      <c r="M60" s="1090"/>
      <c r="N60" s="2357"/>
      <c r="O60" s="2363"/>
      <c r="P60" s="2345"/>
      <c r="Q60" s="2345"/>
      <c r="R60" s="2345"/>
      <c r="S60" s="2345"/>
      <c r="T60" s="2345"/>
      <c r="U60" s="2345"/>
      <c r="V60" s="2345"/>
    </row>
    <row r="61" spans="1:22" s="236" customFormat="1" ht="29.25" customHeight="1">
      <c r="A61" s="2346"/>
      <c r="B61" s="2388"/>
      <c r="C61" s="2424"/>
      <c r="D61" s="1083" t="s">
        <v>1076</v>
      </c>
      <c r="E61" s="1057">
        <f>E59</f>
        <v>16.39</v>
      </c>
      <c r="F61" s="1058">
        <f t="shared" si="5"/>
        <v>7.6266015863331302E-2</v>
      </c>
      <c r="G61" s="1057">
        <f>G59+G60</f>
        <v>16.55</v>
      </c>
      <c r="H61" s="1059">
        <f>H59+H60</f>
        <v>17.64</v>
      </c>
      <c r="I61" s="1060">
        <f t="shared" si="2"/>
        <v>-4.4217687074829981E-2</v>
      </c>
      <c r="J61" s="1057">
        <f t="shared" ref="J61:M61" si="22">J59+J60</f>
        <v>0</v>
      </c>
      <c r="K61" s="1059">
        <f t="shared" si="22"/>
        <v>16.86</v>
      </c>
      <c r="L61" s="1059">
        <f t="shared" si="22"/>
        <v>16.86</v>
      </c>
      <c r="M61" s="1059">
        <f t="shared" si="22"/>
        <v>16.86</v>
      </c>
      <c r="N61" s="2357"/>
      <c r="O61" s="2350"/>
      <c r="P61" s="2344"/>
      <c r="Q61" s="2344"/>
      <c r="R61" s="2344"/>
      <c r="S61" s="2344"/>
      <c r="T61" s="2344"/>
      <c r="U61" s="2344"/>
      <c r="V61" s="2345"/>
    </row>
    <row r="62" spans="1:22" s="236" customFormat="1" ht="27.75" customHeight="1">
      <c r="A62" s="2339" t="s">
        <v>2854</v>
      </c>
      <c r="B62" s="2386" t="s">
        <v>3033</v>
      </c>
      <c r="C62" s="2381">
        <v>188711925</v>
      </c>
      <c r="D62" s="1082" t="s">
        <v>1122</v>
      </c>
      <c r="E62" s="1051"/>
      <c r="F62" s="1052"/>
      <c r="G62" s="1051"/>
      <c r="H62" s="1053">
        <v>24.419</v>
      </c>
      <c r="I62" s="1054">
        <f t="shared" si="2"/>
        <v>0</v>
      </c>
      <c r="J62" s="1051"/>
      <c r="K62" s="1107">
        <v>24.419</v>
      </c>
      <c r="L62" s="1107">
        <v>24.419</v>
      </c>
      <c r="M62" s="1107">
        <v>24.419</v>
      </c>
      <c r="N62" s="2357"/>
      <c r="O62" s="2349" t="s">
        <v>4227</v>
      </c>
      <c r="P62" s="2343" t="s">
        <v>3034</v>
      </c>
      <c r="Q62" s="2343" t="s">
        <v>3035</v>
      </c>
      <c r="R62" s="2343">
        <v>100</v>
      </c>
      <c r="S62" s="2343">
        <v>100</v>
      </c>
      <c r="T62" s="2343">
        <v>100</v>
      </c>
      <c r="U62" s="2343">
        <v>100</v>
      </c>
      <c r="V62" s="2345"/>
    </row>
    <row r="63" spans="1:22" s="236" customFormat="1" ht="27.75" customHeight="1">
      <c r="A63" s="2340"/>
      <c r="B63" s="2387"/>
      <c r="C63" s="2382"/>
      <c r="D63" s="1082" t="s">
        <v>471</v>
      </c>
      <c r="E63" s="1051"/>
      <c r="F63" s="1052"/>
      <c r="G63" s="1051"/>
      <c r="H63" s="1109"/>
      <c r="I63" s="1054"/>
      <c r="J63" s="1051"/>
      <c r="K63" s="1107"/>
      <c r="L63" s="1090"/>
      <c r="M63" s="1090"/>
      <c r="N63" s="2357"/>
      <c r="O63" s="2363"/>
      <c r="P63" s="2345"/>
      <c r="Q63" s="2345"/>
      <c r="R63" s="2345"/>
      <c r="S63" s="2345"/>
      <c r="T63" s="2345"/>
      <c r="U63" s="2345"/>
      <c r="V63" s="2345"/>
    </row>
    <row r="64" spans="1:22" s="236" customFormat="1" ht="67.5" customHeight="1">
      <c r="A64" s="2346"/>
      <c r="B64" s="2388"/>
      <c r="C64" s="2424"/>
      <c r="D64" s="1083" t="s">
        <v>1076</v>
      </c>
      <c r="E64" s="1057"/>
      <c r="F64" s="1058"/>
      <c r="G64" s="1057"/>
      <c r="H64" s="1059">
        <f>H62</f>
        <v>24.419</v>
      </c>
      <c r="I64" s="1060">
        <f t="shared" si="2"/>
        <v>0</v>
      </c>
      <c r="J64" s="1057">
        <f t="shared" ref="J64:M64" si="23">J62</f>
        <v>0</v>
      </c>
      <c r="K64" s="1059">
        <f t="shared" si="23"/>
        <v>24.419</v>
      </c>
      <c r="L64" s="1059">
        <f t="shared" si="23"/>
        <v>24.419</v>
      </c>
      <c r="M64" s="1059">
        <f t="shared" si="23"/>
        <v>24.419</v>
      </c>
      <c r="N64" s="2357"/>
      <c r="O64" s="2350"/>
      <c r="P64" s="2344"/>
      <c r="Q64" s="2344"/>
      <c r="R64" s="2344"/>
      <c r="S64" s="2344"/>
      <c r="T64" s="2344"/>
      <c r="U64" s="2344"/>
      <c r="V64" s="2345"/>
    </row>
    <row r="65" spans="1:22" s="236" customFormat="1" ht="30.6" customHeight="1">
      <c r="A65" s="2339" t="s">
        <v>2853</v>
      </c>
      <c r="B65" s="2386" t="s">
        <v>708</v>
      </c>
      <c r="C65" s="2381">
        <v>188711925</v>
      </c>
      <c r="D65" s="1082" t="s">
        <v>1081</v>
      </c>
      <c r="E65" s="1051">
        <v>13.1</v>
      </c>
      <c r="F65" s="1052">
        <f t="shared" si="5"/>
        <v>1.1702290076335877</v>
      </c>
      <c r="G65" s="1051">
        <v>20.36</v>
      </c>
      <c r="H65" s="1053">
        <v>28.43</v>
      </c>
      <c r="I65" s="1054">
        <f t="shared" si="2"/>
        <v>-0.47590573338023212</v>
      </c>
      <c r="J65" s="1051"/>
      <c r="K65" s="1107">
        <v>14.9</v>
      </c>
      <c r="L65" s="1090">
        <v>14.9</v>
      </c>
      <c r="M65" s="1090">
        <v>14.9</v>
      </c>
      <c r="N65" s="2357"/>
      <c r="O65" s="2349" t="s">
        <v>2465</v>
      </c>
      <c r="P65" s="2343" t="s">
        <v>1159</v>
      </c>
      <c r="Q65" s="2343" t="s">
        <v>1983</v>
      </c>
      <c r="R65" s="2343">
        <v>100</v>
      </c>
      <c r="S65" s="2343">
        <v>100</v>
      </c>
      <c r="T65" s="2343">
        <v>100</v>
      </c>
      <c r="U65" s="2343">
        <v>100</v>
      </c>
      <c r="V65" s="2345"/>
    </row>
    <row r="66" spans="1:22" s="236" customFormat="1" ht="54" customHeight="1">
      <c r="A66" s="2346"/>
      <c r="B66" s="2388"/>
      <c r="C66" s="2424"/>
      <c r="D66" s="1083" t="s">
        <v>1076</v>
      </c>
      <c r="E66" s="1057">
        <f>E65</f>
        <v>13.1</v>
      </c>
      <c r="F66" s="1058">
        <f t="shared" si="5"/>
        <v>1.1702290076335877</v>
      </c>
      <c r="G66" s="1057">
        <f>G65</f>
        <v>20.36</v>
      </c>
      <c r="H66" s="1059">
        <f>H65</f>
        <v>28.43</v>
      </c>
      <c r="I66" s="1060">
        <f t="shared" si="2"/>
        <v>-0.47590573338023212</v>
      </c>
      <c r="J66" s="1057">
        <f t="shared" ref="J66:M66" si="24">J65</f>
        <v>0</v>
      </c>
      <c r="K66" s="1059">
        <f t="shared" si="24"/>
        <v>14.9</v>
      </c>
      <c r="L66" s="1059">
        <f t="shared" si="24"/>
        <v>14.9</v>
      </c>
      <c r="M66" s="1059">
        <f t="shared" si="24"/>
        <v>14.9</v>
      </c>
      <c r="N66" s="2357"/>
      <c r="O66" s="2350"/>
      <c r="P66" s="2344"/>
      <c r="Q66" s="2344"/>
      <c r="R66" s="2344"/>
      <c r="S66" s="2344"/>
      <c r="T66" s="2344"/>
      <c r="U66" s="2344"/>
      <c r="V66" s="2345"/>
    </row>
    <row r="67" spans="1:22" s="236" customFormat="1" ht="33.75" customHeight="1">
      <c r="A67" s="2339" t="s">
        <v>2852</v>
      </c>
      <c r="B67" s="2386" t="s">
        <v>553</v>
      </c>
      <c r="C67" s="2381">
        <v>188711925</v>
      </c>
      <c r="D67" s="1082" t="s">
        <v>1081</v>
      </c>
      <c r="E67" s="1051">
        <v>13.6</v>
      </c>
      <c r="F67" s="1052">
        <f t="shared" si="5"/>
        <v>0.17647058823529416</v>
      </c>
      <c r="G67" s="1051">
        <v>14.835000000000001</v>
      </c>
      <c r="H67" s="1053">
        <v>16</v>
      </c>
      <c r="I67" s="1054">
        <f t="shared" si="2"/>
        <v>-0.26437500000000003</v>
      </c>
      <c r="J67" s="1051"/>
      <c r="K67" s="1107">
        <v>11.77</v>
      </c>
      <c r="L67" s="1107">
        <v>11.77</v>
      </c>
      <c r="M67" s="1107">
        <v>11.77</v>
      </c>
      <c r="N67" s="2357"/>
      <c r="O67" s="2349" t="s">
        <v>2893</v>
      </c>
      <c r="P67" s="2343" t="s">
        <v>1160</v>
      </c>
      <c r="Q67" s="2343" t="s">
        <v>2523</v>
      </c>
      <c r="R67" s="2343" t="s">
        <v>1976</v>
      </c>
      <c r="S67" s="2343" t="s">
        <v>1977</v>
      </c>
      <c r="T67" s="2343" t="s">
        <v>1978</v>
      </c>
      <c r="U67" s="2343" t="s">
        <v>1978</v>
      </c>
      <c r="V67" s="2345"/>
    </row>
    <row r="68" spans="1:22" s="236" customFormat="1" ht="34.15" customHeight="1">
      <c r="A68" s="2340"/>
      <c r="B68" s="2387"/>
      <c r="C68" s="2382"/>
      <c r="D68" s="1082" t="s">
        <v>471</v>
      </c>
      <c r="E68" s="948">
        <v>0.68</v>
      </c>
      <c r="F68" s="1052">
        <f t="shared" si="5"/>
        <v>-0.30882352941176477</v>
      </c>
      <c r="G68" s="948">
        <v>0.79500000000000004</v>
      </c>
      <c r="H68" s="946">
        <v>0.47</v>
      </c>
      <c r="I68" s="1054">
        <f t="shared" si="2"/>
        <v>33.851063829787236</v>
      </c>
      <c r="J68" s="948">
        <v>0.51</v>
      </c>
      <c r="K68" s="1107">
        <v>16.38</v>
      </c>
      <c r="L68" s="1090">
        <v>16.39</v>
      </c>
      <c r="M68" s="1090">
        <v>17.2</v>
      </c>
      <c r="N68" s="2357"/>
      <c r="O68" s="2363"/>
      <c r="P68" s="2345"/>
      <c r="Q68" s="2345"/>
      <c r="R68" s="2345"/>
      <c r="S68" s="2345"/>
      <c r="T68" s="2345"/>
      <c r="U68" s="2345"/>
      <c r="V68" s="2345"/>
    </row>
    <row r="69" spans="1:22" s="236" customFormat="1" ht="61.5" customHeight="1">
      <c r="A69" s="2346"/>
      <c r="B69" s="2388"/>
      <c r="C69" s="2424"/>
      <c r="D69" s="1083" t="s">
        <v>1076</v>
      </c>
      <c r="E69" s="1057">
        <f>SUM(E67:E68)</f>
        <v>14.28</v>
      </c>
      <c r="F69" s="1058">
        <f t="shared" si="5"/>
        <v>0.15336134453781511</v>
      </c>
      <c r="G69" s="1057">
        <f>G67+G68</f>
        <v>15.63</v>
      </c>
      <c r="H69" s="1059">
        <f>H67+H68</f>
        <v>16.47</v>
      </c>
      <c r="I69" s="1060">
        <f t="shared" si="2"/>
        <v>0.70916818457802067</v>
      </c>
      <c r="J69" s="1057">
        <f t="shared" ref="J69:M69" si="25">J67+J68</f>
        <v>0.51</v>
      </c>
      <c r="K69" s="1059">
        <f>K67+K68</f>
        <v>28.15</v>
      </c>
      <c r="L69" s="1059">
        <f>L67+L68</f>
        <v>28.16</v>
      </c>
      <c r="M69" s="1059">
        <f t="shared" si="25"/>
        <v>28.97</v>
      </c>
      <c r="N69" s="2357"/>
      <c r="O69" s="2350"/>
      <c r="P69" s="2344"/>
      <c r="Q69" s="2344"/>
      <c r="R69" s="2344"/>
      <c r="S69" s="2344"/>
      <c r="T69" s="2344"/>
      <c r="U69" s="2344"/>
      <c r="V69" s="2345"/>
    </row>
    <row r="70" spans="1:22" s="236" customFormat="1" ht="31.15" customHeight="1">
      <c r="A70" s="2339" t="s">
        <v>2851</v>
      </c>
      <c r="B70" s="2386" t="s">
        <v>410</v>
      </c>
      <c r="C70" s="2381">
        <v>188711925</v>
      </c>
      <c r="D70" s="1082" t="s">
        <v>1081</v>
      </c>
      <c r="E70" s="1051">
        <v>0.46</v>
      </c>
      <c r="F70" s="1052">
        <f t="shared" si="5"/>
        <v>-0.52173913043478259</v>
      </c>
      <c r="G70" s="1051">
        <v>0.46</v>
      </c>
      <c r="H70" s="1053">
        <v>0.22</v>
      </c>
      <c r="I70" s="1054">
        <f t="shared" si="2"/>
        <v>1.4090909090909092</v>
      </c>
      <c r="J70" s="1051"/>
      <c r="K70" s="1110">
        <v>0.53</v>
      </c>
      <c r="L70" s="1110">
        <v>0.53</v>
      </c>
      <c r="M70" s="1110">
        <v>0.53</v>
      </c>
      <c r="N70" s="2357"/>
      <c r="O70" s="2349" t="s">
        <v>2894</v>
      </c>
      <c r="P70" s="2343" t="s">
        <v>1161</v>
      </c>
      <c r="Q70" s="2343" t="s">
        <v>1984</v>
      </c>
      <c r="R70" s="2343">
        <v>100</v>
      </c>
      <c r="S70" s="2343">
        <v>100</v>
      </c>
      <c r="T70" s="2343">
        <v>100</v>
      </c>
      <c r="U70" s="2343">
        <v>100</v>
      </c>
      <c r="V70" s="2345"/>
    </row>
    <row r="71" spans="1:22" s="236" customFormat="1" ht="39" customHeight="1">
      <c r="A71" s="2346"/>
      <c r="B71" s="2388"/>
      <c r="C71" s="2424"/>
      <c r="D71" s="1083" t="s">
        <v>1076</v>
      </c>
      <c r="E71" s="1057">
        <f>E70</f>
        <v>0.46</v>
      </c>
      <c r="F71" s="1058">
        <f t="shared" si="5"/>
        <v>-0.52173913043478259</v>
      </c>
      <c r="G71" s="1057">
        <f>G70</f>
        <v>0.46</v>
      </c>
      <c r="H71" s="1059">
        <f>H70</f>
        <v>0.22</v>
      </c>
      <c r="I71" s="1060">
        <f t="shared" si="2"/>
        <v>1.4090909090909092</v>
      </c>
      <c r="J71" s="1057">
        <f t="shared" ref="J71:M71" si="26">J70</f>
        <v>0</v>
      </c>
      <c r="K71" s="1059">
        <f t="shared" si="26"/>
        <v>0.53</v>
      </c>
      <c r="L71" s="1059">
        <f t="shared" si="26"/>
        <v>0.53</v>
      </c>
      <c r="M71" s="1059">
        <f t="shared" si="26"/>
        <v>0.53</v>
      </c>
      <c r="N71" s="2358"/>
      <c r="O71" s="2350"/>
      <c r="P71" s="2344"/>
      <c r="Q71" s="2344"/>
      <c r="R71" s="2344"/>
      <c r="S71" s="2344"/>
      <c r="T71" s="2344"/>
      <c r="U71" s="2344"/>
      <c r="V71" s="2344"/>
    </row>
    <row r="72" spans="1:22" s="236" customFormat="1" ht="30.6" customHeight="1">
      <c r="A72" s="2339" t="s">
        <v>2850</v>
      </c>
      <c r="B72" s="2386" t="s">
        <v>715</v>
      </c>
      <c r="C72" s="2381">
        <v>188711925</v>
      </c>
      <c r="D72" s="1082" t="s">
        <v>1081</v>
      </c>
      <c r="E72" s="1051">
        <v>15.3</v>
      </c>
      <c r="F72" s="1052">
        <f t="shared" si="5"/>
        <v>-0.52287581699346408</v>
      </c>
      <c r="G72" s="1051">
        <v>16.024999999999999</v>
      </c>
      <c r="H72" s="1053">
        <v>7.3</v>
      </c>
      <c r="I72" s="1054">
        <f t="shared" si="2"/>
        <v>0</v>
      </c>
      <c r="J72" s="1051"/>
      <c r="K72" s="1053">
        <v>7.3</v>
      </c>
      <c r="L72" s="1053">
        <v>7.3</v>
      </c>
      <c r="M72" s="1053">
        <v>7.3</v>
      </c>
      <c r="N72" s="2356" t="s">
        <v>2274</v>
      </c>
      <c r="O72" s="2349" t="s">
        <v>2896</v>
      </c>
      <c r="P72" s="2343" t="s">
        <v>1162</v>
      </c>
      <c r="Q72" s="2343" t="s">
        <v>2895</v>
      </c>
      <c r="R72" s="2343" t="s">
        <v>308</v>
      </c>
      <c r="S72" s="2343" t="s">
        <v>308</v>
      </c>
      <c r="T72" s="2343" t="s">
        <v>308</v>
      </c>
      <c r="U72" s="2343" t="s">
        <v>308</v>
      </c>
      <c r="V72" s="2343" t="s">
        <v>1737</v>
      </c>
    </row>
    <row r="73" spans="1:22" s="236" customFormat="1" ht="74.45" customHeight="1">
      <c r="A73" s="2346"/>
      <c r="B73" s="2388"/>
      <c r="C73" s="2424"/>
      <c r="D73" s="1083" t="s">
        <v>1076</v>
      </c>
      <c r="E73" s="1057">
        <f>E72</f>
        <v>15.3</v>
      </c>
      <c r="F73" s="1058">
        <f t="shared" si="5"/>
        <v>-0.52287581699346408</v>
      </c>
      <c r="G73" s="1057">
        <f>G72</f>
        <v>16.024999999999999</v>
      </c>
      <c r="H73" s="1059">
        <f>H72</f>
        <v>7.3</v>
      </c>
      <c r="I73" s="1060">
        <f t="shared" si="2"/>
        <v>0</v>
      </c>
      <c r="J73" s="1057">
        <f t="shared" ref="J73:M73" si="27">J72</f>
        <v>0</v>
      </c>
      <c r="K73" s="1059">
        <f t="shared" si="27"/>
        <v>7.3</v>
      </c>
      <c r="L73" s="1059">
        <f t="shared" si="27"/>
        <v>7.3</v>
      </c>
      <c r="M73" s="1059">
        <f t="shared" si="27"/>
        <v>7.3</v>
      </c>
      <c r="N73" s="2357"/>
      <c r="O73" s="2350"/>
      <c r="P73" s="2344"/>
      <c r="Q73" s="2344"/>
      <c r="R73" s="2344"/>
      <c r="S73" s="2344"/>
      <c r="T73" s="2344"/>
      <c r="U73" s="2344"/>
      <c r="V73" s="2345"/>
    </row>
    <row r="74" spans="1:22" s="236" customFormat="1" ht="34.5" customHeight="1">
      <c r="A74" s="2339" t="s">
        <v>2849</v>
      </c>
      <c r="B74" s="2432" t="s">
        <v>4148</v>
      </c>
      <c r="C74" s="2381">
        <v>188711925</v>
      </c>
      <c r="D74" s="2435" t="s">
        <v>1081</v>
      </c>
      <c r="E74" s="1051">
        <v>48.8</v>
      </c>
      <c r="F74" s="1052">
        <f t="shared" si="5"/>
        <v>-0.19057377049180324</v>
      </c>
      <c r="G74" s="1051">
        <v>38.07</v>
      </c>
      <c r="H74" s="1053">
        <v>39.5</v>
      </c>
      <c r="I74" s="1054">
        <f t="shared" si="2"/>
        <v>6.3291139240506222E-2</v>
      </c>
      <c r="J74" s="1051">
        <v>42</v>
      </c>
      <c r="K74" s="1107">
        <v>42</v>
      </c>
      <c r="L74" s="1090">
        <v>42</v>
      </c>
      <c r="M74" s="1090">
        <v>42</v>
      </c>
      <c r="N74" s="2357"/>
      <c r="O74" s="2349" t="s">
        <v>3645</v>
      </c>
      <c r="P74" s="2343" t="s">
        <v>1100</v>
      </c>
      <c r="Q74" s="2343" t="s">
        <v>1991</v>
      </c>
      <c r="R74" s="2343" t="s">
        <v>1985</v>
      </c>
      <c r="S74" s="2343" t="s">
        <v>1986</v>
      </c>
      <c r="T74" s="2343" t="s">
        <v>1986</v>
      </c>
      <c r="U74" s="2343" t="s">
        <v>1986</v>
      </c>
      <c r="V74" s="2345"/>
    </row>
    <row r="75" spans="1:22" s="236" customFormat="1" ht="27" hidden="1" customHeight="1">
      <c r="A75" s="2340"/>
      <c r="B75" s="2433"/>
      <c r="C75" s="2382"/>
      <c r="D75" s="2436"/>
      <c r="E75" s="948">
        <v>12</v>
      </c>
      <c r="F75" s="1052">
        <f t="shared" si="5"/>
        <v>-1</v>
      </c>
      <c r="G75" s="948"/>
      <c r="H75" s="946"/>
      <c r="I75" s="1054" t="e">
        <f t="shared" si="2"/>
        <v>#DIV/0!</v>
      </c>
      <c r="J75" s="948"/>
      <c r="K75" s="1107"/>
      <c r="L75" s="1090"/>
      <c r="M75" s="1090"/>
      <c r="N75" s="2357"/>
      <c r="O75" s="2363"/>
      <c r="P75" s="2345"/>
      <c r="Q75" s="2345"/>
      <c r="R75" s="2344"/>
      <c r="S75" s="2345"/>
      <c r="T75" s="2345"/>
      <c r="U75" s="2345"/>
      <c r="V75" s="2345"/>
    </row>
    <row r="76" spans="1:22" s="236" customFormat="1" ht="42.75" customHeight="1">
      <c r="A76" s="2346"/>
      <c r="B76" s="2434"/>
      <c r="C76" s="2424"/>
      <c r="D76" s="1083" t="s">
        <v>1076</v>
      </c>
      <c r="E76" s="1057">
        <f>E74</f>
        <v>48.8</v>
      </c>
      <c r="F76" s="1058">
        <f t="shared" si="5"/>
        <v>-0.19057377049180324</v>
      </c>
      <c r="G76" s="1057">
        <f>G74+G75</f>
        <v>38.07</v>
      </c>
      <c r="H76" s="1059">
        <f>H74+H75</f>
        <v>39.5</v>
      </c>
      <c r="I76" s="1060">
        <f t="shared" si="2"/>
        <v>6.3291139240506222E-2</v>
      </c>
      <c r="J76" s="1057">
        <f>J74+J75</f>
        <v>42</v>
      </c>
      <c r="K76" s="1059">
        <f>K74+K75</f>
        <v>42</v>
      </c>
      <c r="L76" s="1059">
        <f>L74+L75</f>
        <v>42</v>
      </c>
      <c r="M76" s="1059">
        <f>M74+M75</f>
        <v>42</v>
      </c>
      <c r="N76" s="2358"/>
      <c r="O76" s="2350"/>
      <c r="P76" s="2344"/>
      <c r="Q76" s="2344"/>
      <c r="R76" s="947"/>
      <c r="S76" s="2344"/>
      <c r="T76" s="2344"/>
      <c r="U76" s="2344"/>
      <c r="V76" s="2344"/>
    </row>
    <row r="77" spans="1:22" s="236" customFormat="1" ht="27.75" customHeight="1">
      <c r="A77" s="2339" t="s">
        <v>2848</v>
      </c>
      <c r="B77" s="2386" t="s">
        <v>4130</v>
      </c>
      <c r="C77" s="2381">
        <v>188711925</v>
      </c>
      <c r="D77" s="1082" t="s">
        <v>1081</v>
      </c>
      <c r="E77" s="1051">
        <v>3.25</v>
      </c>
      <c r="F77" s="1052">
        <f t="shared" si="5"/>
        <v>5.8461538461538447E-2</v>
      </c>
      <c r="G77" s="1051">
        <v>4.08</v>
      </c>
      <c r="H77" s="1053">
        <v>3.44</v>
      </c>
      <c r="I77" s="1054">
        <f t="shared" si="2"/>
        <v>4.3604651162790775E-2</v>
      </c>
      <c r="J77" s="1112">
        <v>4.8129999999999997</v>
      </c>
      <c r="K77" s="1053">
        <v>3.59</v>
      </c>
      <c r="L77" s="1053">
        <v>3.59</v>
      </c>
      <c r="M77" s="1053">
        <v>3.59</v>
      </c>
      <c r="N77" s="2356" t="s">
        <v>2267</v>
      </c>
      <c r="O77" s="2349" t="s">
        <v>2466</v>
      </c>
      <c r="P77" s="2343" t="s">
        <v>1163</v>
      </c>
      <c r="Q77" s="2343" t="s">
        <v>1987</v>
      </c>
      <c r="R77" s="2343">
        <v>100</v>
      </c>
      <c r="S77" s="2343">
        <v>100</v>
      </c>
      <c r="T77" s="2343">
        <v>100</v>
      </c>
      <c r="U77" s="2343">
        <v>100</v>
      </c>
      <c r="V77" s="2343" t="s">
        <v>3041</v>
      </c>
    </row>
    <row r="78" spans="1:22" s="236" customFormat="1" ht="27" customHeight="1">
      <c r="A78" s="2340"/>
      <c r="B78" s="2387"/>
      <c r="C78" s="2382"/>
      <c r="D78" s="1082" t="s">
        <v>471</v>
      </c>
      <c r="E78" s="1051"/>
      <c r="F78" s="1052"/>
      <c r="G78" s="1051"/>
      <c r="H78" s="1109"/>
      <c r="I78" s="1054"/>
      <c r="J78" s="1051"/>
      <c r="K78" s="1109"/>
      <c r="L78" s="1113"/>
      <c r="M78" s="1114"/>
      <c r="N78" s="2357"/>
      <c r="O78" s="2363"/>
      <c r="P78" s="2345"/>
      <c r="Q78" s="2345"/>
      <c r="R78" s="2345"/>
      <c r="S78" s="2345"/>
      <c r="T78" s="2345"/>
      <c r="U78" s="2345"/>
      <c r="V78" s="2345"/>
    </row>
    <row r="79" spans="1:22" s="236" customFormat="1" ht="29.25" customHeight="1">
      <c r="A79" s="2346"/>
      <c r="B79" s="2388"/>
      <c r="C79" s="2424"/>
      <c r="D79" s="1083" t="s">
        <v>1076</v>
      </c>
      <c r="E79" s="1057">
        <f>SUM(E77:E78)</f>
        <v>3.25</v>
      </c>
      <c r="F79" s="1058">
        <f t="shared" si="5"/>
        <v>5.8461538461538447E-2</v>
      </c>
      <c r="G79" s="1057">
        <f t="shared" ref="G79" si="28">SUM(G77:G78)</f>
        <v>4.08</v>
      </c>
      <c r="H79" s="1059">
        <f t="shared" ref="H79:M79" si="29">SUM(H77:H78)</f>
        <v>3.44</v>
      </c>
      <c r="I79" s="1060">
        <f t="shared" si="2"/>
        <v>4.3604651162790775E-2</v>
      </c>
      <c r="J79" s="1057">
        <f t="shared" si="29"/>
        <v>4.8129999999999997</v>
      </c>
      <c r="K79" s="1059">
        <f t="shared" si="29"/>
        <v>3.59</v>
      </c>
      <c r="L79" s="1059">
        <f t="shared" si="29"/>
        <v>3.59</v>
      </c>
      <c r="M79" s="1059">
        <f t="shared" si="29"/>
        <v>3.59</v>
      </c>
      <c r="N79" s="2357"/>
      <c r="O79" s="2350"/>
      <c r="P79" s="2344"/>
      <c r="Q79" s="2344"/>
      <c r="R79" s="2344"/>
      <c r="S79" s="2344"/>
      <c r="T79" s="2344"/>
      <c r="U79" s="2344"/>
      <c r="V79" s="2345"/>
    </row>
    <row r="80" spans="1:22" s="236" customFormat="1" ht="31.5" customHeight="1">
      <c r="A80" s="2339" t="s">
        <v>2847</v>
      </c>
      <c r="B80" s="2386" t="s">
        <v>408</v>
      </c>
      <c r="C80" s="2381">
        <v>188711925</v>
      </c>
      <c r="D80" s="1082" t="s">
        <v>1081</v>
      </c>
      <c r="E80" s="1051">
        <v>11.2</v>
      </c>
      <c r="F80" s="1052">
        <f t="shared" si="5"/>
        <v>-0.38392857142857134</v>
      </c>
      <c r="G80" s="1051">
        <v>7.67</v>
      </c>
      <c r="H80" s="1053">
        <v>6.9</v>
      </c>
      <c r="I80" s="1054">
        <f t="shared" si="2"/>
        <v>0.24637681159420288</v>
      </c>
      <c r="J80" s="1051"/>
      <c r="K80" s="1053">
        <v>8.6</v>
      </c>
      <c r="L80" s="1053">
        <v>8.6</v>
      </c>
      <c r="M80" s="1053">
        <v>8.6</v>
      </c>
      <c r="N80" s="2357"/>
      <c r="O80" s="2349" t="s">
        <v>3005</v>
      </c>
      <c r="P80" s="2343" t="s">
        <v>1164</v>
      </c>
      <c r="Q80" s="2343" t="s">
        <v>3006</v>
      </c>
      <c r="R80" s="2343">
        <v>100</v>
      </c>
      <c r="S80" s="2343">
        <v>100</v>
      </c>
      <c r="T80" s="2343">
        <v>100</v>
      </c>
      <c r="U80" s="2343">
        <v>100</v>
      </c>
      <c r="V80" s="2345"/>
    </row>
    <row r="81" spans="1:23" s="236" customFormat="1" ht="34.15" customHeight="1">
      <c r="A81" s="2346"/>
      <c r="B81" s="2388"/>
      <c r="C81" s="2424"/>
      <c r="D81" s="1083" t="s">
        <v>1076</v>
      </c>
      <c r="E81" s="1057">
        <f>E80</f>
        <v>11.2</v>
      </c>
      <c r="F81" s="1058">
        <f t="shared" si="5"/>
        <v>-0.38392857142857134</v>
      </c>
      <c r="G81" s="1057">
        <f>G80</f>
        <v>7.67</v>
      </c>
      <c r="H81" s="1059">
        <f>H80</f>
        <v>6.9</v>
      </c>
      <c r="I81" s="1060">
        <f t="shared" si="2"/>
        <v>0.24637681159420288</v>
      </c>
      <c r="J81" s="1057">
        <f t="shared" ref="J81:M81" si="30">J80</f>
        <v>0</v>
      </c>
      <c r="K81" s="1059">
        <f t="shared" si="30"/>
        <v>8.6</v>
      </c>
      <c r="L81" s="1059">
        <f>L80</f>
        <v>8.6</v>
      </c>
      <c r="M81" s="1059">
        <f t="shared" si="30"/>
        <v>8.6</v>
      </c>
      <c r="N81" s="2357"/>
      <c r="O81" s="2437"/>
      <c r="P81" s="2344"/>
      <c r="Q81" s="2344"/>
      <c r="R81" s="2344"/>
      <c r="S81" s="2344"/>
      <c r="T81" s="2344"/>
      <c r="U81" s="2344"/>
      <c r="V81" s="2345"/>
    </row>
    <row r="82" spans="1:23" s="236" customFormat="1" ht="30" customHeight="1">
      <c r="A82" s="2339" t="s">
        <v>2846</v>
      </c>
      <c r="B82" s="2386" t="s">
        <v>177</v>
      </c>
      <c r="C82" s="2381">
        <v>188711925</v>
      </c>
      <c r="D82" s="1082" t="s">
        <v>1081</v>
      </c>
      <c r="E82" s="1051">
        <v>10</v>
      </c>
      <c r="F82" s="1052">
        <f t="shared" si="5"/>
        <v>0</v>
      </c>
      <c r="G82" s="1051">
        <v>9.8049999999999997</v>
      </c>
      <c r="H82" s="1053">
        <v>10</v>
      </c>
      <c r="I82" s="1054">
        <f t="shared" si="2"/>
        <v>0</v>
      </c>
      <c r="J82" s="1051"/>
      <c r="K82" s="1053">
        <v>10</v>
      </c>
      <c r="L82" s="1115">
        <v>10</v>
      </c>
      <c r="M82" s="1090">
        <v>10</v>
      </c>
      <c r="N82" s="2357"/>
      <c r="O82" s="2349" t="s">
        <v>2897</v>
      </c>
      <c r="P82" s="2343" t="s">
        <v>1165</v>
      </c>
      <c r="Q82" s="2343" t="s">
        <v>1979</v>
      </c>
      <c r="R82" s="2343">
        <v>100</v>
      </c>
      <c r="S82" s="2343">
        <v>100</v>
      </c>
      <c r="T82" s="2343">
        <v>100</v>
      </c>
      <c r="U82" s="2343">
        <v>100</v>
      </c>
      <c r="V82" s="2345"/>
    </row>
    <row r="83" spans="1:23" s="236" customFormat="1" ht="29.25" customHeight="1">
      <c r="A83" s="2340"/>
      <c r="B83" s="2387"/>
      <c r="C83" s="2382"/>
      <c r="D83" s="1082" t="s">
        <v>471</v>
      </c>
      <c r="E83" s="948">
        <v>0</v>
      </c>
      <c r="F83" s="1052"/>
      <c r="G83" s="948">
        <v>1.28</v>
      </c>
      <c r="H83" s="946">
        <v>0.8</v>
      </c>
      <c r="I83" s="1054">
        <f t="shared" si="2"/>
        <v>16.212499999999999</v>
      </c>
      <c r="J83" s="948">
        <v>0.91</v>
      </c>
      <c r="K83" s="1053">
        <v>13.77</v>
      </c>
      <c r="L83" s="1053">
        <v>13.77</v>
      </c>
      <c r="M83" s="1090">
        <v>14.46</v>
      </c>
      <c r="N83" s="2357"/>
      <c r="O83" s="2363"/>
      <c r="P83" s="2345"/>
      <c r="Q83" s="2345"/>
      <c r="R83" s="2345"/>
      <c r="S83" s="2345"/>
      <c r="T83" s="2345"/>
      <c r="U83" s="2345"/>
      <c r="V83" s="2345"/>
    </row>
    <row r="84" spans="1:23" s="236" customFormat="1" ht="33" customHeight="1">
      <c r="A84" s="2346"/>
      <c r="B84" s="2388"/>
      <c r="C84" s="2424"/>
      <c r="D84" s="1083" t="s">
        <v>1076</v>
      </c>
      <c r="E84" s="1057">
        <f>SUM(E82:E83)</f>
        <v>10</v>
      </c>
      <c r="F84" s="1058">
        <f t="shared" si="5"/>
        <v>8.0000000000000071E-2</v>
      </c>
      <c r="G84" s="1057">
        <f t="shared" ref="G84" si="31">SUM(G82:G83)</f>
        <v>11.084999999999999</v>
      </c>
      <c r="H84" s="1059">
        <f t="shared" ref="H84:M84" si="32">SUM(H82:H83)</f>
        <v>10.8</v>
      </c>
      <c r="I84" s="1060">
        <f t="shared" si="2"/>
        <v>1.200925925925926</v>
      </c>
      <c r="J84" s="1057">
        <f t="shared" si="32"/>
        <v>0.91</v>
      </c>
      <c r="K84" s="1059">
        <f t="shared" si="32"/>
        <v>23.77</v>
      </c>
      <c r="L84" s="1059">
        <f t="shared" si="32"/>
        <v>23.77</v>
      </c>
      <c r="M84" s="1059">
        <f t="shared" si="32"/>
        <v>24.46</v>
      </c>
      <c r="N84" s="2357"/>
      <c r="O84" s="2350"/>
      <c r="P84" s="2344"/>
      <c r="Q84" s="2344"/>
      <c r="R84" s="2344"/>
      <c r="S84" s="2344"/>
      <c r="T84" s="2344"/>
      <c r="U84" s="2344"/>
      <c r="V84" s="2345"/>
    </row>
    <row r="85" spans="1:23" s="236" customFormat="1" ht="30.75" customHeight="1">
      <c r="A85" s="2339" t="s">
        <v>2845</v>
      </c>
      <c r="B85" s="2386" t="s">
        <v>709</v>
      </c>
      <c r="C85" s="2381">
        <v>188711925</v>
      </c>
      <c r="D85" s="1082" t="s">
        <v>1081</v>
      </c>
      <c r="E85" s="1051">
        <v>27.26</v>
      </c>
      <c r="F85" s="1052">
        <f t="shared" si="5"/>
        <v>0.10396184886280262</v>
      </c>
      <c r="G85" s="1051">
        <v>27.754999999999999</v>
      </c>
      <c r="H85" s="1053">
        <f>30.09+0.004</f>
        <v>30.094000000000001</v>
      </c>
      <c r="I85" s="1054">
        <f t="shared" si="2"/>
        <v>0.14019405861633549</v>
      </c>
      <c r="J85" s="1051"/>
      <c r="K85" s="1053">
        <v>34.313000000000002</v>
      </c>
      <c r="L85" s="1053">
        <v>34.313000000000002</v>
      </c>
      <c r="M85" s="1053">
        <v>34.313000000000002</v>
      </c>
      <c r="N85" s="2357"/>
      <c r="O85" s="2349" t="s">
        <v>2898</v>
      </c>
      <c r="P85" s="2343" t="s">
        <v>1166</v>
      </c>
      <c r="Q85" s="2343" t="s">
        <v>1990</v>
      </c>
      <c r="R85" s="2343" t="s">
        <v>324</v>
      </c>
      <c r="S85" s="2343" t="s">
        <v>324</v>
      </c>
      <c r="T85" s="2343" t="s">
        <v>324</v>
      </c>
      <c r="U85" s="2343" t="s">
        <v>324</v>
      </c>
      <c r="V85" s="2345"/>
    </row>
    <row r="86" spans="1:23" s="236" customFormat="1" ht="41.25" customHeight="1">
      <c r="A86" s="2346"/>
      <c r="B86" s="2388"/>
      <c r="C86" s="2424"/>
      <c r="D86" s="1083" t="s">
        <v>1076</v>
      </c>
      <c r="E86" s="1057">
        <f>E85</f>
        <v>27.26</v>
      </c>
      <c r="F86" s="1058">
        <f t="shared" si="5"/>
        <v>0.10396184886280262</v>
      </c>
      <c r="G86" s="1057">
        <f>G85</f>
        <v>27.754999999999999</v>
      </c>
      <c r="H86" s="1059">
        <f>H85</f>
        <v>30.094000000000001</v>
      </c>
      <c r="I86" s="1060">
        <f t="shared" si="2"/>
        <v>0.14019405861633549</v>
      </c>
      <c r="J86" s="1057">
        <f t="shared" ref="J86:M86" si="33">J85</f>
        <v>0</v>
      </c>
      <c r="K86" s="1059">
        <f t="shared" si="33"/>
        <v>34.313000000000002</v>
      </c>
      <c r="L86" s="1059">
        <f t="shared" si="33"/>
        <v>34.313000000000002</v>
      </c>
      <c r="M86" s="1059">
        <f t="shared" si="33"/>
        <v>34.313000000000002</v>
      </c>
      <c r="N86" s="2357"/>
      <c r="O86" s="2350"/>
      <c r="P86" s="2344"/>
      <c r="Q86" s="2344"/>
      <c r="R86" s="2344"/>
      <c r="S86" s="2344"/>
      <c r="T86" s="2344"/>
      <c r="U86" s="2344"/>
      <c r="V86" s="2345"/>
    </row>
    <row r="87" spans="1:23" s="236" customFormat="1" ht="30.75" customHeight="1">
      <c r="A87" s="2339" t="s">
        <v>2844</v>
      </c>
      <c r="B87" s="2432" t="s">
        <v>4149</v>
      </c>
      <c r="C87" s="2381">
        <v>188711925</v>
      </c>
      <c r="D87" s="1082" t="s">
        <v>1081</v>
      </c>
      <c r="E87" s="1051">
        <v>1.45</v>
      </c>
      <c r="F87" s="1052">
        <f t="shared" si="5"/>
        <v>14.136551724137933</v>
      </c>
      <c r="G87" s="1051">
        <v>1.45</v>
      </c>
      <c r="H87" s="1053">
        <v>21.948</v>
      </c>
      <c r="I87" s="1054">
        <f t="shared" ref="I87:I152" si="34">K87/H87-1</f>
        <v>0</v>
      </c>
      <c r="J87" s="1051"/>
      <c r="K87" s="1053">
        <v>21.948</v>
      </c>
      <c r="L87" s="1053">
        <v>21.948</v>
      </c>
      <c r="M87" s="1053">
        <v>21.948</v>
      </c>
      <c r="N87" s="2357"/>
      <c r="O87" s="2349" t="s">
        <v>3621</v>
      </c>
      <c r="P87" s="2343" t="s">
        <v>1167</v>
      </c>
      <c r="Q87" s="2343" t="s">
        <v>3007</v>
      </c>
      <c r="R87" s="2343" t="s">
        <v>308</v>
      </c>
      <c r="S87" s="2343" t="s">
        <v>308</v>
      </c>
      <c r="T87" s="2343" t="s">
        <v>308</v>
      </c>
      <c r="U87" s="2343" t="s">
        <v>308</v>
      </c>
      <c r="V87" s="2345"/>
    </row>
    <row r="88" spans="1:23" s="236" customFormat="1" ht="82.5" customHeight="1">
      <c r="A88" s="2346"/>
      <c r="B88" s="2434"/>
      <c r="C88" s="2424"/>
      <c r="D88" s="1083" t="s">
        <v>1076</v>
      </c>
      <c r="E88" s="1057">
        <f>E87</f>
        <v>1.45</v>
      </c>
      <c r="F88" s="1058">
        <f t="shared" si="5"/>
        <v>14.136551724137933</v>
      </c>
      <c r="G88" s="1057">
        <f>G87</f>
        <v>1.45</v>
      </c>
      <c r="H88" s="1059">
        <f>H87</f>
        <v>21.948</v>
      </c>
      <c r="I88" s="1060">
        <f t="shared" si="34"/>
        <v>0</v>
      </c>
      <c r="J88" s="1057">
        <f t="shared" ref="J88:M88" si="35">J87</f>
        <v>0</v>
      </c>
      <c r="K88" s="1059">
        <f t="shared" si="35"/>
        <v>21.948</v>
      </c>
      <c r="L88" s="1059">
        <f t="shared" si="35"/>
        <v>21.948</v>
      </c>
      <c r="M88" s="1059">
        <f t="shared" si="35"/>
        <v>21.948</v>
      </c>
      <c r="N88" s="2357"/>
      <c r="O88" s="2350"/>
      <c r="P88" s="2344"/>
      <c r="Q88" s="2344"/>
      <c r="R88" s="2344"/>
      <c r="S88" s="2344"/>
      <c r="T88" s="2344"/>
      <c r="U88" s="2344"/>
      <c r="V88" s="2345"/>
    </row>
    <row r="89" spans="1:23" s="236" customFormat="1" ht="37.9" customHeight="1">
      <c r="A89" s="2339" t="s">
        <v>2843</v>
      </c>
      <c r="B89" s="2386" t="s">
        <v>700</v>
      </c>
      <c r="C89" s="2381">
        <v>188711925</v>
      </c>
      <c r="D89" s="1082" t="s">
        <v>1081</v>
      </c>
      <c r="E89" s="1051">
        <v>1.4</v>
      </c>
      <c r="F89" s="1052">
        <f t="shared" ref="F89:F194" si="36">(H89-E89)/E89</f>
        <v>0.22000000000000006</v>
      </c>
      <c r="G89" s="1051">
        <v>1</v>
      </c>
      <c r="H89" s="1053">
        <v>1.708</v>
      </c>
      <c r="I89" s="1054">
        <f t="shared" si="34"/>
        <v>2.8103044496487151E-2</v>
      </c>
      <c r="J89" s="1051"/>
      <c r="K89" s="1053">
        <v>1.756</v>
      </c>
      <c r="L89" s="1053">
        <v>1.756</v>
      </c>
      <c r="M89" s="1053">
        <v>1.756</v>
      </c>
      <c r="N89" s="2357"/>
      <c r="O89" s="2349" t="s">
        <v>2899</v>
      </c>
      <c r="P89" s="2343" t="s">
        <v>1168</v>
      </c>
      <c r="Q89" s="2343" t="s">
        <v>1988</v>
      </c>
      <c r="R89" s="2343" t="s">
        <v>1989</v>
      </c>
      <c r="S89" s="2343" t="s">
        <v>1989</v>
      </c>
      <c r="T89" s="2343" t="s">
        <v>1989</v>
      </c>
      <c r="U89" s="2343" t="s">
        <v>1989</v>
      </c>
      <c r="V89" s="2345"/>
    </row>
    <row r="90" spans="1:23" s="236" customFormat="1" ht="36.75" customHeight="1">
      <c r="A90" s="2340"/>
      <c r="B90" s="2387"/>
      <c r="C90" s="2382"/>
      <c r="D90" s="1082" t="s">
        <v>471</v>
      </c>
      <c r="E90" s="1051">
        <v>8</v>
      </c>
      <c r="F90" s="1052">
        <f t="shared" si="36"/>
        <v>-1</v>
      </c>
      <c r="G90" s="1051">
        <v>2</v>
      </c>
      <c r="H90" s="1053"/>
      <c r="I90" s="1054"/>
      <c r="J90" s="1051">
        <v>1</v>
      </c>
      <c r="K90" s="1053">
        <v>0</v>
      </c>
      <c r="L90" s="1115">
        <v>0</v>
      </c>
      <c r="M90" s="1090">
        <v>0</v>
      </c>
      <c r="N90" s="2357"/>
      <c r="O90" s="2363"/>
      <c r="P90" s="2345"/>
      <c r="Q90" s="2345"/>
      <c r="R90" s="2345"/>
      <c r="S90" s="2345"/>
      <c r="T90" s="2345"/>
      <c r="U90" s="2345"/>
      <c r="V90" s="2345"/>
    </row>
    <row r="91" spans="1:23" s="236" customFormat="1" ht="39" customHeight="1">
      <c r="A91" s="2346"/>
      <c r="B91" s="2388"/>
      <c r="C91" s="2373"/>
      <c r="D91" s="1087" t="s">
        <v>1076</v>
      </c>
      <c r="E91" s="1088">
        <f>SUM(E89:E90)</f>
        <v>9.4</v>
      </c>
      <c r="F91" s="1058">
        <f t="shared" si="36"/>
        <v>-0.8182978723404255</v>
      </c>
      <c r="G91" s="1088">
        <f t="shared" ref="G91" si="37">SUM(G89:G90)</f>
        <v>3</v>
      </c>
      <c r="H91" s="1089">
        <f t="shared" ref="H91:M91" si="38">SUM(H89:H90)</f>
        <v>1.708</v>
      </c>
      <c r="I91" s="1060">
        <f t="shared" si="34"/>
        <v>2.8103044496487151E-2</v>
      </c>
      <c r="J91" s="1088">
        <f t="shared" si="38"/>
        <v>1</v>
      </c>
      <c r="K91" s="1089">
        <f t="shared" si="38"/>
        <v>1.756</v>
      </c>
      <c r="L91" s="1089">
        <f t="shared" si="38"/>
        <v>1.756</v>
      </c>
      <c r="M91" s="1089">
        <f t="shared" si="38"/>
        <v>1.756</v>
      </c>
      <c r="N91" s="2357"/>
      <c r="O91" s="2350"/>
      <c r="P91" s="2344"/>
      <c r="Q91" s="2344"/>
      <c r="R91" s="2344"/>
      <c r="S91" s="2344"/>
      <c r="T91" s="2344"/>
      <c r="U91" s="2344"/>
      <c r="V91" s="2345"/>
    </row>
    <row r="92" spans="1:23" s="236" customFormat="1" ht="27.75" customHeight="1">
      <c r="A92" s="2429" t="s">
        <v>3997</v>
      </c>
      <c r="B92" s="2432" t="s">
        <v>4121</v>
      </c>
      <c r="C92" s="2381">
        <v>188711925</v>
      </c>
      <c r="D92" s="1082" t="s">
        <v>1122</v>
      </c>
      <c r="E92" s="1051"/>
      <c r="F92" s="1052"/>
      <c r="G92" s="1051"/>
      <c r="H92" s="1053"/>
      <c r="I92" s="1054"/>
      <c r="J92" s="1051"/>
      <c r="K92" s="1053">
        <v>0.4</v>
      </c>
      <c r="L92" s="1053">
        <v>0.4</v>
      </c>
      <c r="M92" s="1053">
        <v>0.4</v>
      </c>
      <c r="N92" s="2357"/>
      <c r="O92" s="2349" t="s">
        <v>4023</v>
      </c>
      <c r="P92" s="2343" t="s">
        <v>3034</v>
      </c>
      <c r="Q92" s="2343" t="s">
        <v>4024</v>
      </c>
      <c r="R92" s="2343">
        <v>100</v>
      </c>
      <c r="S92" s="2343">
        <v>100</v>
      </c>
      <c r="T92" s="2343">
        <v>100</v>
      </c>
      <c r="U92" s="2343">
        <v>100</v>
      </c>
      <c r="V92" s="2345"/>
    </row>
    <row r="93" spans="1:23" s="236" customFormat="1" ht="27.75" customHeight="1">
      <c r="A93" s="2430"/>
      <c r="B93" s="2433"/>
      <c r="C93" s="2382"/>
      <c r="D93" s="1082" t="s">
        <v>471</v>
      </c>
      <c r="E93" s="1051"/>
      <c r="F93" s="1052"/>
      <c r="G93" s="1051"/>
      <c r="H93" s="1109"/>
      <c r="I93" s="1054"/>
      <c r="J93" s="1051"/>
      <c r="K93" s="1116"/>
      <c r="L93" s="1117"/>
      <c r="M93" s="1117"/>
      <c r="N93" s="2357"/>
      <c r="O93" s="2363"/>
      <c r="P93" s="2345"/>
      <c r="Q93" s="2345"/>
      <c r="R93" s="2345"/>
      <c r="S93" s="2345"/>
      <c r="T93" s="2345"/>
      <c r="U93" s="2345"/>
      <c r="V93" s="2345"/>
    </row>
    <row r="94" spans="1:23" s="236" customFormat="1" ht="45" customHeight="1">
      <c r="A94" s="2431"/>
      <c r="B94" s="2434"/>
      <c r="C94" s="2424"/>
      <c r="D94" s="1083" t="s">
        <v>1076</v>
      </c>
      <c r="E94" s="1057"/>
      <c r="F94" s="1058"/>
      <c r="G94" s="1057"/>
      <c r="H94" s="1059">
        <f>H92</f>
        <v>0</v>
      </c>
      <c r="I94" s="1060" t="e">
        <f t="shared" ref="I94" si="39">K94/H94-1</f>
        <v>#DIV/0!</v>
      </c>
      <c r="J94" s="1057">
        <f t="shared" ref="J94:M94" si="40">J92</f>
        <v>0</v>
      </c>
      <c r="K94" s="1059">
        <f t="shared" si="40"/>
        <v>0.4</v>
      </c>
      <c r="L94" s="1059">
        <f t="shared" si="40"/>
        <v>0.4</v>
      </c>
      <c r="M94" s="1059">
        <f t="shared" si="40"/>
        <v>0.4</v>
      </c>
      <c r="N94" s="2358"/>
      <c r="O94" s="2350"/>
      <c r="P94" s="2344"/>
      <c r="Q94" s="2344"/>
      <c r="R94" s="2344"/>
      <c r="S94" s="2344"/>
      <c r="T94" s="2344"/>
      <c r="U94" s="2344"/>
      <c r="V94" s="2344"/>
    </row>
    <row r="95" spans="1:23" s="626" customFormat="1" ht="61.9" customHeight="1">
      <c r="A95" s="1017" t="s">
        <v>2021</v>
      </c>
      <c r="B95" s="954" t="s">
        <v>2033</v>
      </c>
      <c r="C95" s="1017"/>
      <c r="D95" s="1017"/>
      <c r="E95" s="1094">
        <f>SUM(E98,E106,E114,E116)</f>
        <v>124.15</v>
      </c>
      <c r="F95" s="1047">
        <f t="shared" si="36"/>
        <v>3.0205396697543293E-2</v>
      </c>
      <c r="G95" s="1094">
        <f>SUM(G98,G106,G114,G116)</f>
        <v>135.19999999999999</v>
      </c>
      <c r="H95" s="1095">
        <f>SUM(H98,H106,H114,H116)</f>
        <v>127.9</v>
      </c>
      <c r="I95" s="1096">
        <f t="shared" si="34"/>
        <v>0.49726348709929624</v>
      </c>
      <c r="J95" s="1094">
        <f>SUM(J98,J106,J114,J116)</f>
        <v>380</v>
      </c>
      <c r="K95" s="1095">
        <f>SUM(K98,K106,K114,K116)</f>
        <v>191.5</v>
      </c>
      <c r="L95" s="1095">
        <f>SUM(L98,L106,L114,L116)</f>
        <v>193.5</v>
      </c>
      <c r="M95" s="1095">
        <f>SUM(M98,M106,M114,M116)</f>
        <v>200.7</v>
      </c>
      <c r="N95" s="182" t="s">
        <v>1017</v>
      </c>
      <c r="O95" s="1006"/>
      <c r="P95" s="1007" t="s">
        <v>2279</v>
      </c>
      <c r="Q95" s="1007" t="s">
        <v>1021</v>
      </c>
      <c r="R95" s="1008">
        <f>2/(18+10+3)</f>
        <v>6.4516129032258063E-2</v>
      </c>
      <c r="S95" s="1008">
        <f t="shared" ref="S95" si="41">2/(18+10+3)</f>
        <v>6.4516129032258063E-2</v>
      </c>
      <c r="T95" s="1008">
        <f>3/(18+10+3)</f>
        <v>9.6774193548387094E-2</v>
      </c>
      <c r="U95" s="1008">
        <f>3/(18+10+3)</f>
        <v>9.6774193548387094E-2</v>
      </c>
      <c r="V95" s="1007" t="s">
        <v>1021</v>
      </c>
    </row>
    <row r="96" spans="1:23" s="236" customFormat="1" ht="39.75" customHeight="1">
      <c r="A96" s="2339" t="s">
        <v>2842</v>
      </c>
      <c r="B96" s="2386" t="s">
        <v>710</v>
      </c>
      <c r="C96" s="2423">
        <v>188711925</v>
      </c>
      <c r="D96" s="1098" t="s">
        <v>471</v>
      </c>
      <c r="E96" s="1099">
        <v>90.95</v>
      </c>
      <c r="F96" s="1052">
        <f t="shared" si="36"/>
        <v>0.18416712479384276</v>
      </c>
      <c r="G96" s="1099">
        <v>100</v>
      </c>
      <c r="H96" s="1100">
        <v>107.7</v>
      </c>
      <c r="I96" s="1054">
        <f>K96/H96-1</f>
        <v>0.54410399257195929</v>
      </c>
      <c r="J96" s="1051">
        <f>SUM(J99,J100,J101,J102,J103,J107,J108,J109,J110,J111,J112)</f>
        <v>344.8</v>
      </c>
      <c r="K96" s="1053">
        <f>SUM(K99,K100,K101,K102,K103,K107,K108,K109,K110,K111,K112)</f>
        <v>166.3</v>
      </c>
      <c r="L96" s="1053">
        <f>SUM(L99,L100,L101,L102,L103,L107,L108,L109,L110,L111,L112)</f>
        <v>168.3</v>
      </c>
      <c r="M96" s="1053">
        <f>SUM(M99,M100,M101,M102,M103,M107,M108,M109,M110,M111,M112)</f>
        <v>170.5</v>
      </c>
      <c r="N96" s="2356" t="s">
        <v>2275</v>
      </c>
      <c r="O96" s="2349" t="s">
        <v>3622</v>
      </c>
      <c r="P96" s="2343" t="s">
        <v>1169</v>
      </c>
      <c r="Q96" s="2343" t="s">
        <v>3623</v>
      </c>
      <c r="R96" s="2343" t="s">
        <v>1363</v>
      </c>
      <c r="S96" s="2343" t="s">
        <v>586</v>
      </c>
      <c r="T96" s="2343" t="s">
        <v>586</v>
      </c>
      <c r="U96" s="2343" t="s">
        <v>586</v>
      </c>
      <c r="V96" s="2343" t="s">
        <v>2276</v>
      </c>
      <c r="W96" s="361" t="s">
        <v>2700</v>
      </c>
    </row>
    <row r="97" spans="1:22" s="236" customFormat="1" ht="33.75" customHeight="1">
      <c r="A97" s="2340"/>
      <c r="B97" s="2387"/>
      <c r="C97" s="2382"/>
      <c r="D97" s="1082" t="s">
        <v>1075</v>
      </c>
      <c r="E97" s="1051"/>
      <c r="F97" s="1052"/>
      <c r="G97" s="1051"/>
      <c r="H97" s="1053"/>
      <c r="I97" s="1054"/>
      <c r="J97" s="1051"/>
      <c r="K97" s="1053"/>
      <c r="L97" s="1115"/>
      <c r="M97" s="1118"/>
      <c r="N97" s="2357"/>
      <c r="O97" s="2363"/>
      <c r="P97" s="2345"/>
      <c r="Q97" s="2345"/>
      <c r="R97" s="2345"/>
      <c r="S97" s="2345"/>
      <c r="T97" s="2345"/>
      <c r="U97" s="2345"/>
      <c r="V97" s="2345"/>
    </row>
    <row r="98" spans="1:22" s="236" customFormat="1" ht="87.75" customHeight="1">
      <c r="A98" s="2346"/>
      <c r="B98" s="2388"/>
      <c r="C98" s="2424"/>
      <c r="D98" s="1083" t="s">
        <v>1076</v>
      </c>
      <c r="E98" s="1057">
        <f>E96</f>
        <v>90.95</v>
      </c>
      <c r="F98" s="1058">
        <f t="shared" si="36"/>
        <v>0.18416712479384276</v>
      </c>
      <c r="G98" s="1057">
        <f>G96+G97</f>
        <v>100</v>
      </c>
      <c r="H98" s="1059">
        <f>H96+H97</f>
        <v>107.7</v>
      </c>
      <c r="I98" s="1060">
        <f t="shared" si="34"/>
        <v>0.54410399257195929</v>
      </c>
      <c r="J98" s="1057">
        <f t="shared" ref="J98" si="42">J96+J97</f>
        <v>344.8</v>
      </c>
      <c r="K98" s="1059">
        <f>K96+K97</f>
        <v>166.3</v>
      </c>
      <c r="L98" s="1059">
        <f>L96+L97</f>
        <v>168.3</v>
      </c>
      <c r="M98" s="1059">
        <f>M96+M97</f>
        <v>170.5</v>
      </c>
      <c r="N98" s="2358"/>
      <c r="O98" s="2350"/>
      <c r="P98" s="2344"/>
      <c r="Q98" s="2344"/>
      <c r="R98" s="2344"/>
      <c r="S98" s="2344"/>
      <c r="T98" s="2344"/>
      <c r="U98" s="2344"/>
      <c r="V98" s="2345"/>
    </row>
    <row r="99" spans="1:22" s="236" customFormat="1" ht="27" hidden="1" customHeight="1">
      <c r="A99" s="2427" t="s">
        <v>3528</v>
      </c>
      <c r="B99" s="957" t="s">
        <v>2732</v>
      </c>
      <c r="C99" s="1119"/>
      <c r="D99" s="1072"/>
      <c r="E99" s="1120"/>
      <c r="F99" s="1065"/>
      <c r="G99" s="1120"/>
      <c r="H99" s="989">
        <v>0.6</v>
      </c>
      <c r="I99" s="1067"/>
      <c r="J99" s="1068"/>
      <c r="K99" s="989"/>
      <c r="L99" s="1121"/>
      <c r="M99" s="1122"/>
      <c r="N99" s="1310"/>
      <c r="O99" s="1009"/>
      <c r="P99" s="992"/>
      <c r="Q99" s="1010"/>
      <c r="R99" s="1011"/>
      <c r="S99" s="1011"/>
      <c r="T99" s="1011"/>
      <c r="U99" s="1011"/>
      <c r="V99" s="2345"/>
    </row>
    <row r="100" spans="1:22" s="236" customFormat="1" ht="27" hidden="1" customHeight="1">
      <c r="A100" s="2428"/>
      <c r="B100" s="957" t="s">
        <v>2735</v>
      </c>
      <c r="C100" s="1119"/>
      <c r="D100" s="1072" t="s">
        <v>471</v>
      </c>
      <c r="E100" s="1120"/>
      <c r="F100" s="1065"/>
      <c r="G100" s="1120"/>
      <c r="H100" s="989">
        <v>28.1</v>
      </c>
      <c r="I100" s="1067"/>
      <c r="J100" s="1068">
        <v>115</v>
      </c>
      <c r="K100" s="989">
        <v>0</v>
      </c>
      <c r="L100" s="1121">
        <v>0</v>
      </c>
      <c r="M100" s="1123">
        <v>0</v>
      </c>
      <c r="N100" s="1310"/>
      <c r="O100" s="1009"/>
      <c r="P100" s="992"/>
      <c r="Q100" s="1010"/>
      <c r="R100" s="1011"/>
      <c r="S100" s="1011"/>
      <c r="T100" s="1011"/>
      <c r="U100" s="1011"/>
      <c r="V100" s="2345"/>
    </row>
    <row r="101" spans="1:22" s="236" customFormat="1" ht="27" hidden="1" customHeight="1">
      <c r="A101" s="2472"/>
      <c r="B101" s="957" t="s">
        <v>2733</v>
      </c>
      <c r="C101" s="1119"/>
      <c r="D101" s="1072"/>
      <c r="E101" s="1120"/>
      <c r="F101" s="1065"/>
      <c r="G101" s="1120"/>
      <c r="H101" s="989">
        <v>57.58</v>
      </c>
      <c r="I101" s="1067"/>
      <c r="J101" s="1068"/>
      <c r="K101" s="989"/>
      <c r="L101" s="1121"/>
      <c r="M101" s="1123"/>
      <c r="N101" s="1310"/>
      <c r="O101" s="1009"/>
      <c r="P101" s="992"/>
      <c r="Q101" s="1010"/>
      <c r="R101" s="1011"/>
      <c r="S101" s="1011"/>
      <c r="T101" s="1011"/>
      <c r="U101" s="1011"/>
      <c r="V101" s="2345"/>
    </row>
    <row r="102" spans="1:22" s="236" customFormat="1" ht="45" hidden="1" customHeight="1">
      <c r="A102" s="2427" t="s">
        <v>3491</v>
      </c>
      <c r="B102" s="957" t="s">
        <v>2734</v>
      </c>
      <c r="C102" s="1119"/>
      <c r="D102" s="1072" t="s">
        <v>471</v>
      </c>
      <c r="E102" s="1120"/>
      <c r="F102" s="1065"/>
      <c r="G102" s="1120"/>
      <c r="H102" s="989">
        <v>18.12</v>
      </c>
      <c r="I102" s="1067"/>
      <c r="J102" s="1068">
        <v>20</v>
      </c>
      <c r="K102" s="989">
        <v>20</v>
      </c>
      <c r="L102" s="1121">
        <v>22</v>
      </c>
      <c r="M102" s="1123">
        <v>24.2</v>
      </c>
      <c r="N102" s="1310"/>
      <c r="O102" s="1009"/>
      <c r="P102" s="992"/>
      <c r="Q102" s="1010"/>
      <c r="R102" s="1011"/>
      <c r="S102" s="1011"/>
      <c r="T102" s="1011"/>
      <c r="U102" s="1011"/>
      <c r="V102" s="2345"/>
    </row>
    <row r="103" spans="1:22" s="236" customFormat="1" ht="130.5" hidden="1" customHeight="1">
      <c r="A103" s="2428"/>
      <c r="B103" s="964" t="s">
        <v>3529</v>
      </c>
      <c r="C103" s="1119"/>
      <c r="D103" s="1072" t="s">
        <v>471</v>
      </c>
      <c r="E103" s="1120"/>
      <c r="F103" s="1065"/>
      <c r="G103" s="1120"/>
      <c r="H103" s="989">
        <v>3.33</v>
      </c>
      <c r="I103" s="1067"/>
      <c r="J103" s="1068">
        <v>8.5</v>
      </c>
      <c r="K103" s="989">
        <v>0</v>
      </c>
      <c r="L103" s="1124">
        <v>0</v>
      </c>
      <c r="M103" s="989">
        <v>0</v>
      </c>
      <c r="N103" s="1310"/>
      <c r="O103" s="1012" t="s">
        <v>3357</v>
      </c>
      <c r="P103" s="995"/>
      <c r="Q103" s="1013"/>
      <c r="R103" s="1014"/>
      <c r="S103" s="1014"/>
      <c r="T103" s="1014"/>
      <c r="U103" s="1014"/>
      <c r="V103" s="2345"/>
    </row>
    <row r="104" spans="1:22" s="236" customFormat="1" ht="27" hidden="1" customHeight="1">
      <c r="A104" s="2377" t="s">
        <v>2841</v>
      </c>
      <c r="B104" s="2379" t="s">
        <v>2823</v>
      </c>
      <c r="C104" s="2381">
        <v>188711925</v>
      </c>
      <c r="D104" s="1082" t="s">
        <v>471</v>
      </c>
      <c r="E104" s="1051">
        <v>5</v>
      </c>
      <c r="F104" s="1052"/>
      <c r="G104" s="1051"/>
      <c r="H104" s="1125"/>
      <c r="I104" s="1126"/>
      <c r="J104" s="1127"/>
      <c r="K104" s="1001"/>
      <c r="L104" s="1128"/>
      <c r="M104" s="1129"/>
      <c r="N104" s="1311"/>
      <c r="O104" s="2349" t="s">
        <v>2824</v>
      </c>
      <c r="P104" s="2343"/>
      <c r="Q104" s="2343"/>
      <c r="R104" s="2343"/>
      <c r="S104" s="2343"/>
      <c r="T104" s="2343"/>
      <c r="U104" s="2343"/>
      <c r="V104" s="2345"/>
    </row>
    <row r="105" spans="1:22" s="236" customFormat="1" ht="27" hidden="1" customHeight="1">
      <c r="A105" s="2378"/>
      <c r="B105" s="2380"/>
      <c r="C105" s="2382"/>
      <c r="D105" s="1082" t="s">
        <v>1079</v>
      </c>
      <c r="E105" s="948"/>
      <c r="F105" s="1052"/>
      <c r="G105" s="948"/>
      <c r="H105" s="1001"/>
      <c r="I105" s="1126"/>
      <c r="J105" s="1102"/>
      <c r="K105" s="1001"/>
      <c r="L105" s="1130"/>
      <c r="M105" s="1131"/>
      <c r="N105" s="1311"/>
      <c r="O105" s="2363"/>
      <c r="P105" s="2345"/>
      <c r="Q105" s="2345"/>
      <c r="R105" s="2345"/>
      <c r="S105" s="2345"/>
      <c r="T105" s="2345"/>
      <c r="U105" s="2345"/>
      <c r="V105" s="2345"/>
    </row>
    <row r="106" spans="1:22" s="236" customFormat="1" ht="27" hidden="1" customHeight="1">
      <c r="A106" s="2378"/>
      <c r="B106" s="2380"/>
      <c r="C106" s="2382"/>
      <c r="D106" s="1132" t="s">
        <v>1076</v>
      </c>
      <c r="E106" s="1088">
        <f>E104</f>
        <v>5</v>
      </c>
      <c r="F106" s="1133"/>
      <c r="G106" s="1088"/>
      <c r="H106" s="1134">
        <f>H104+H105</f>
        <v>0</v>
      </c>
      <c r="I106" s="1126"/>
      <c r="J106" s="1135"/>
      <c r="K106" s="1136">
        <f t="shared" ref="K106:L106" si="43">K104+K105</f>
        <v>0</v>
      </c>
      <c r="L106" s="1137">
        <f t="shared" si="43"/>
        <v>0</v>
      </c>
      <c r="M106" s="1138">
        <f t="shared" ref="M106" si="44">M104+M105</f>
        <v>0</v>
      </c>
      <c r="N106" s="1311"/>
      <c r="O106" s="2363"/>
      <c r="P106" s="2345"/>
      <c r="Q106" s="2345"/>
      <c r="R106" s="2345"/>
      <c r="S106" s="2345"/>
      <c r="T106" s="2345"/>
      <c r="U106" s="2345"/>
      <c r="V106" s="2344"/>
    </row>
    <row r="107" spans="1:22" s="236" customFormat="1" ht="32.25" hidden="1" customHeight="1">
      <c r="A107" s="1022" t="s">
        <v>3530</v>
      </c>
      <c r="B107" s="957" t="s">
        <v>3387</v>
      </c>
      <c r="C107" s="1139"/>
      <c r="D107" s="1072" t="s">
        <v>471</v>
      </c>
      <c r="E107" s="1120"/>
      <c r="F107" s="1065"/>
      <c r="G107" s="1120"/>
      <c r="H107" s="1120"/>
      <c r="I107" s="1067"/>
      <c r="J107" s="1120">
        <v>0</v>
      </c>
      <c r="K107" s="989">
        <v>0</v>
      </c>
      <c r="L107" s="989">
        <v>0</v>
      </c>
      <c r="M107" s="989">
        <v>0</v>
      </c>
      <c r="N107" s="1310"/>
      <c r="O107" s="1015" t="s">
        <v>3536</v>
      </c>
      <c r="P107" s="1011"/>
      <c r="Q107" s="1011"/>
      <c r="R107" s="1011"/>
      <c r="S107" s="1011"/>
      <c r="T107" s="1011"/>
      <c r="U107" s="1011"/>
      <c r="V107" s="996"/>
    </row>
    <row r="108" spans="1:22" s="236" customFormat="1" ht="50.25" hidden="1" customHeight="1">
      <c r="A108" s="1022" t="s">
        <v>3491</v>
      </c>
      <c r="B108" s="957" t="s">
        <v>3463</v>
      </c>
      <c r="C108" s="1139"/>
      <c r="D108" s="1072" t="s">
        <v>471</v>
      </c>
      <c r="E108" s="1120"/>
      <c r="F108" s="1065"/>
      <c r="G108" s="1120"/>
      <c r="H108" s="1120"/>
      <c r="I108" s="1067"/>
      <c r="J108" s="1120">
        <v>0</v>
      </c>
      <c r="K108" s="989">
        <v>0</v>
      </c>
      <c r="L108" s="989">
        <v>0</v>
      </c>
      <c r="M108" s="989">
        <v>0</v>
      </c>
      <c r="N108" s="1310"/>
      <c r="O108" s="1015" t="s">
        <v>3537</v>
      </c>
      <c r="P108" s="1011"/>
      <c r="Q108" s="1011"/>
      <c r="R108" s="1011"/>
      <c r="S108" s="1011"/>
      <c r="T108" s="1011"/>
      <c r="U108" s="1011"/>
      <c r="V108" s="996"/>
    </row>
    <row r="109" spans="1:22" s="236" customFormat="1" ht="32.25" hidden="1" customHeight="1">
      <c r="A109" s="1024" t="s">
        <v>3489</v>
      </c>
      <c r="B109" s="964" t="s">
        <v>3490</v>
      </c>
      <c r="C109" s="1140"/>
      <c r="D109" s="1141" t="s">
        <v>471</v>
      </c>
      <c r="E109" s="1142"/>
      <c r="F109" s="1143"/>
      <c r="G109" s="1142"/>
      <c r="H109" s="1142"/>
      <c r="I109" s="1144"/>
      <c r="J109" s="1142">
        <v>50</v>
      </c>
      <c r="K109" s="1145">
        <v>50</v>
      </c>
      <c r="L109" s="1145">
        <v>50</v>
      </c>
      <c r="M109" s="1145">
        <v>50</v>
      </c>
      <c r="N109" s="1310"/>
      <c r="O109" s="1009"/>
      <c r="P109" s="1011"/>
      <c r="Q109" s="1011"/>
      <c r="R109" s="1011"/>
      <c r="S109" s="1011"/>
      <c r="T109" s="1011"/>
      <c r="U109" s="1011"/>
      <c r="V109" s="996"/>
    </row>
    <row r="110" spans="1:22" s="236" customFormat="1" ht="32.25" hidden="1" customHeight="1">
      <c r="A110" s="1022" t="s">
        <v>3793</v>
      </c>
      <c r="B110" s="957" t="s">
        <v>3795</v>
      </c>
      <c r="C110" s="1139"/>
      <c r="D110" s="990"/>
      <c r="E110" s="1120"/>
      <c r="F110" s="1065"/>
      <c r="G110" s="1120"/>
      <c r="H110" s="1120"/>
      <c r="I110" s="1067"/>
      <c r="J110" s="1120">
        <v>18.149999999999999</v>
      </c>
      <c r="K110" s="989">
        <v>18.149999999999999</v>
      </c>
      <c r="L110" s="989">
        <v>18.149999999999999</v>
      </c>
      <c r="M110" s="989">
        <v>18.149999999999999</v>
      </c>
      <c r="N110" s="1310"/>
      <c r="O110" s="1009"/>
      <c r="P110" s="1011"/>
      <c r="Q110" s="1011"/>
      <c r="R110" s="1011"/>
      <c r="S110" s="1011"/>
      <c r="T110" s="1011"/>
      <c r="U110" s="1011"/>
      <c r="V110" s="996"/>
    </row>
    <row r="111" spans="1:22" s="236" customFormat="1" ht="32.450000000000003" hidden="1" customHeight="1">
      <c r="A111" s="1022" t="s">
        <v>3793</v>
      </c>
      <c r="B111" s="957" t="s">
        <v>3794</v>
      </c>
      <c r="C111" s="1139"/>
      <c r="D111" s="990" t="s">
        <v>471</v>
      </c>
      <c r="E111" s="1120"/>
      <c r="F111" s="1065"/>
      <c r="G111" s="1120"/>
      <c r="H111" s="1120"/>
      <c r="I111" s="1067"/>
      <c r="J111" s="1120">
        <v>18.149999999999999</v>
      </c>
      <c r="K111" s="989">
        <v>18.149999999999999</v>
      </c>
      <c r="L111" s="989">
        <v>18.149999999999999</v>
      </c>
      <c r="M111" s="989">
        <v>18.149999999999999</v>
      </c>
      <c r="N111" s="1310"/>
      <c r="O111" s="1009"/>
      <c r="P111" s="1011"/>
      <c r="Q111" s="1011"/>
      <c r="R111" s="1011"/>
      <c r="S111" s="1011"/>
      <c r="T111" s="1011"/>
      <c r="U111" s="1011"/>
      <c r="V111" s="996"/>
    </row>
    <row r="112" spans="1:22" s="236" customFormat="1" ht="32.450000000000003" hidden="1" customHeight="1">
      <c r="A112" s="1022"/>
      <c r="B112" s="957" t="s">
        <v>4018</v>
      </c>
      <c r="C112" s="1139"/>
      <c r="D112" s="990" t="s">
        <v>471</v>
      </c>
      <c r="E112" s="1120"/>
      <c r="F112" s="1065"/>
      <c r="G112" s="1120"/>
      <c r="H112" s="1120"/>
      <c r="I112" s="1146"/>
      <c r="J112" s="1147">
        <v>115</v>
      </c>
      <c r="K112" s="985">
        <v>60</v>
      </c>
      <c r="L112" s="985">
        <v>60</v>
      </c>
      <c r="M112" s="985">
        <v>60</v>
      </c>
      <c r="N112" s="1310"/>
      <c r="O112" s="1009"/>
      <c r="P112" s="1011"/>
      <c r="Q112" s="1011"/>
      <c r="R112" s="1011"/>
      <c r="S112" s="1011"/>
      <c r="T112" s="1011"/>
      <c r="U112" s="1011"/>
      <c r="V112" s="996"/>
    </row>
    <row r="113" spans="1:23" s="236" customFormat="1" ht="33" customHeight="1">
      <c r="A113" s="2340" t="s">
        <v>2840</v>
      </c>
      <c r="B113" s="2387" t="s">
        <v>705</v>
      </c>
      <c r="C113" s="2382">
        <v>188711925</v>
      </c>
      <c r="D113" s="1098" t="s">
        <v>471</v>
      </c>
      <c r="E113" s="1099">
        <v>28</v>
      </c>
      <c r="F113" s="1148">
        <f t="shared" si="36"/>
        <v>-0.2857142857142857</v>
      </c>
      <c r="G113" s="1099">
        <v>35</v>
      </c>
      <c r="H113" s="1100">
        <v>20</v>
      </c>
      <c r="I113" s="1149">
        <f t="shared" si="34"/>
        <v>0.25</v>
      </c>
      <c r="J113" s="1099">
        <v>35</v>
      </c>
      <c r="K113" s="1100">
        <v>25</v>
      </c>
      <c r="L113" s="1100">
        <v>25</v>
      </c>
      <c r="M113" s="1100">
        <v>30</v>
      </c>
      <c r="N113" s="2376" t="s">
        <v>2277</v>
      </c>
      <c r="O113" s="2395" t="s">
        <v>3650</v>
      </c>
      <c r="P113" s="2342" t="s">
        <v>1170</v>
      </c>
      <c r="Q113" s="2342" t="s">
        <v>1101</v>
      </c>
      <c r="R113" s="2342" t="s">
        <v>9</v>
      </c>
      <c r="S113" s="2342" t="s">
        <v>9</v>
      </c>
      <c r="T113" s="2342" t="s">
        <v>9</v>
      </c>
      <c r="U113" s="2342" t="s">
        <v>9</v>
      </c>
      <c r="V113" s="2343" t="s">
        <v>2278</v>
      </c>
      <c r="W113" s="401" t="s">
        <v>2701</v>
      </c>
    </row>
    <row r="114" spans="1:23" s="236" customFormat="1" ht="44.25" customHeight="1">
      <c r="A114" s="2346"/>
      <c r="B114" s="2388"/>
      <c r="C114" s="2424"/>
      <c r="D114" s="1083" t="s">
        <v>1076</v>
      </c>
      <c r="E114" s="1057">
        <f>E113</f>
        <v>28</v>
      </c>
      <c r="F114" s="1058">
        <f t="shared" si="36"/>
        <v>-0.2857142857142857</v>
      </c>
      <c r="G114" s="1057">
        <f>G113</f>
        <v>35</v>
      </c>
      <c r="H114" s="1059">
        <f>H113</f>
        <v>20</v>
      </c>
      <c r="I114" s="1060">
        <f t="shared" si="34"/>
        <v>0.25</v>
      </c>
      <c r="J114" s="1057">
        <f t="shared" ref="J114:M114" si="45">J113</f>
        <v>35</v>
      </c>
      <c r="K114" s="1059">
        <f t="shared" si="45"/>
        <v>25</v>
      </c>
      <c r="L114" s="1059">
        <f t="shared" si="45"/>
        <v>25</v>
      </c>
      <c r="M114" s="1059">
        <f t="shared" si="45"/>
        <v>30</v>
      </c>
      <c r="N114" s="2376"/>
      <c r="O114" s="2395"/>
      <c r="P114" s="2342"/>
      <c r="Q114" s="2342"/>
      <c r="R114" s="2342"/>
      <c r="S114" s="2342"/>
      <c r="T114" s="2342"/>
      <c r="U114" s="2342"/>
      <c r="V114" s="2345"/>
    </row>
    <row r="115" spans="1:23" s="236" customFormat="1" ht="39.75" customHeight="1">
      <c r="A115" s="2339" t="s">
        <v>2839</v>
      </c>
      <c r="B115" s="2425" t="s">
        <v>701</v>
      </c>
      <c r="C115" s="2381">
        <v>188711925</v>
      </c>
      <c r="D115" s="1082" t="s">
        <v>471</v>
      </c>
      <c r="E115" s="1051">
        <v>0.2</v>
      </c>
      <c r="F115" s="1052">
        <f t="shared" si="36"/>
        <v>0</v>
      </c>
      <c r="G115" s="1051">
        <v>0.2</v>
      </c>
      <c r="H115" s="1053">
        <v>0.2</v>
      </c>
      <c r="I115" s="1054">
        <f t="shared" si="34"/>
        <v>0</v>
      </c>
      <c r="J115" s="1051">
        <v>0.2</v>
      </c>
      <c r="K115" s="1053">
        <v>0.2</v>
      </c>
      <c r="L115" s="1053">
        <v>0.2</v>
      </c>
      <c r="M115" s="1053">
        <v>0.2</v>
      </c>
      <c r="N115" s="2376"/>
      <c r="O115" s="2395" t="s">
        <v>3008</v>
      </c>
      <c r="P115" s="2342" t="s">
        <v>1171</v>
      </c>
      <c r="Q115" s="2342" t="s">
        <v>604</v>
      </c>
      <c r="R115" s="2342">
        <v>1</v>
      </c>
      <c r="S115" s="2342">
        <v>3</v>
      </c>
      <c r="T115" s="2342">
        <v>3</v>
      </c>
      <c r="U115" s="2342">
        <v>3</v>
      </c>
      <c r="V115" s="2345"/>
    </row>
    <row r="116" spans="1:23" s="236" customFormat="1" ht="47.45" customHeight="1">
      <c r="A116" s="2346"/>
      <c r="B116" s="2426"/>
      <c r="C116" s="2373"/>
      <c r="D116" s="1087" t="s">
        <v>1076</v>
      </c>
      <c r="E116" s="1088">
        <f>E115</f>
        <v>0.2</v>
      </c>
      <c r="F116" s="1058">
        <f t="shared" si="36"/>
        <v>0</v>
      </c>
      <c r="G116" s="1088">
        <f>G115</f>
        <v>0.2</v>
      </c>
      <c r="H116" s="1089">
        <f>H115</f>
        <v>0.2</v>
      </c>
      <c r="I116" s="1060">
        <f t="shared" si="34"/>
        <v>0</v>
      </c>
      <c r="J116" s="1088">
        <f t="shared" ref="J116:M116" si="46">J115</f>
        <v>0.2</v>
      </c>
      <c r="K116" s="1089">
        <f t="shared" si="46"/>
        <v>0.2</v>
      </c>
      <c r="L116" s="1059">
        <f t="shared" si="46"/>
        <v>0.2</v>
      </c>
      <c r="M116" s="1059">
        <f t="shared" si="46"/>
        <v>0.2</v>
      </c>
      <c r="N116" s="2376"/>
      <c r="O116" s="2395"/>
      <c r="P116" s="2342"/>
      <c r="Q116" s="2342"/>
      <c r="R116" s="2342"/>
      <c r="S116" s="2342"/>
      <c r="T116" s="2342"/>
      <c r="U116" s="2342"/>
      <c r="V116" s="2344"/>
    </row>
    <row r="117" spans="1:23" s="626" customFormat="1" ht="48" customHeight="1">
      <c r="A117" s="1017" t="s">
        <v>2022</v>
      </c>
      <c r="B117" s="954" t="s">
        <v>3028</v>
      </c>
      <c r="C117" s="1017"/>
      <c r="D117" s="1017"/>
      <c r="E117" s="1094">
        <f t="shared" ref="E117:M117" si="47">SUM(E119,E122,E125,E127)</f>
        <v>410.70000000000005</v>
      </c>
      <c r="F117" s="1047">
        <f t="shared" si="36"/>
        <v>0.68697345994643255</v>
      </c>
      <c r="G117" s="1094">
        <f t="shared" si="47"/>
        <v>709.62</v>
      </c>
      <c r="H117" s="1095">
        <f t="shared" si="47"/>
        <v>692.83999999999992</v>
      </c>
      <c r="I117" s="1096">
        <f t="shared" si="34"/>
        <v>0.10005196004849615</v>
      </c>
      <c r="J117" s="1094">
        <f t="shared" si="47"/>
        <v>849.93799999999999</v>
      </c>
      <c r="K117" s="1095">
        <f t="shared" si="47"/>
        <v>762.16</v>
      </c>
      <c r="L117" s="1095">
        <f t="shared" si="47"/>
        <v>716.18</v>
      </c>
      <c r="M117" s="1095">
        <f t="shared" si="47"/>
        <v>759.36</v>
      </c>
      <c r="N117" s="182" t="s">
        <v>973</v>
      </c>
      <c r="O117" s="1006"/>
      <c r="P117" s="970" t="s">
        <v>2280</v>
      </c>
      <c r="Q117" s="970" t="s">
        <v>2281</v>
      </c>
      <c r="R117" s="970" t="s">
        <v>1740</v>
      </c>
      <c r="S117" s="970" t="s">
        <v>1740</v>
      </c>
      <c r="T117" s="970" t="s">
        <v>1740</v>
      </c>
      <c r="U117" s="970" t="s">
        <v>1740</v>
      </c>
      <c r="V117" s="970" t="s">
        <v>975</v>
      </c>
    </row>
    <row r="118" spans="1:23" s="236" customFormat="1" ht="37.5" customHeight="1">
      <c r="A118" s="2339" t="s">
        <v>2838</v>
      </c>
      <c r="B118" s="2386" t="s">
        <v>1102</v>
      </c>
      <c r="C118" s="2423">
        <v>188711925</v>
      </c>
      <c r="D118" s="1098" t="s">
        <v>471</v>
      </c>
      <c r="E118" s="1099">
        <v>62.5</v>
      </c>
      <c r="F118" s="1052">
        <f>(H118-E118)/E118</f>
        <v>0.28000000000000003</v>
      </c>
      <c r="G118" s="1099">
        <v>98</v>
      </c>
      <c r="H118" s="1100">
        <v>80</v>
      </c>
      <c r="I118" s="1054">
        <f t="shared" si="34"/>
        <v>0</v>
      </c>
      <c r="J118" s="1051">
        <v>100</v>
      </c>
      <c r="K118" s="1116">
        <v>80</v>
      </c>
      <c r="L118" s="1117">
        <v>84</v>
      </c>
      <c r="M118" s="1117">
        <v>88</v>
      </c>
      <c r="N118" s="2356" t="s">
        <v>2267</v>
      </c>
      <c r="O118" s="2349" t="s">
        <v>3009</v>
      </c>
      <c r="P118" s="2343" t="s">
        <v>1172</v>
      </c>
      <c r="Q118" s="2343" t="s">
        <v>1992</v>
      </c>
      <c r="R118" s="2343">
        <v>100</v>
      </c>
      <c r="S118" s="2343">
        <v>100</v>
      </c>
      <c r="T118" s="2343">
        <v>100</v>
      </c>
      <c r="U118" s="2343">
        <v>100</v>
      </c>
      <c r="V118" s="2343" t="s">
        <v>3038</v>
      </c>
    </row>
    <row r="119" spans="1:23" s="236" customFormat="1" ht="52.5" customHeight="1">
      <c r="A119" s="2346"/>
      <c r="B119" s="2388"/>
      <c r="C119" s="2424"/>
      <c r="D119" s="1083" t="s">
        <v>1076</v>
      </c>
      <c r="E119" s="1057">
        <f>E118</f>
        <v>62.5</v>
      </c>
      <c r="F119" s="1058">
        <f t="shared" si="36"/>
        <v>0.28000000000000003</v>
      </c>
      <c r="G119" s="1057">
        <f>G118</f>
        <v>98</v>
      </c>
      <c r="H119" s="1059">
        <f>H118</f>
        <v>80</v>
      </c>
      <c r="I119" s="1060">
        <f t="shared" si="34"/>
        <v>0</v>
      </c>
      <c r="J119" s="1057">
        <f t="shared" ref="J119:M119" si="48">J118</f>
        <v>100</v>
      </c>
      <c r="K119" s="1059">
        <f t="shared" si="48"/>
        <v>80</v>
      </c>
      <c r="L119" s="1059">
        <f t="shared" si="48"/>
        <v>84</v>
      </c>
      <c r="M119" s="1059">
        <f t="shared" si="48"/>
        <v>88</v>
      </c>
      <c r="N119" s="2357"/>
      <c r="O119" s="2350"/>
      <c r="P119" s="2344"/>
      <c r="Q119" s="2344"/>
      <c r="R119" s="2344"/>
      <c r="S119" s="2344"/>
      <c r="T119" s="2344"/>
      <c r="U119" s="2344"/>
      <c r="V119" s="2345"/>
    </row>
    <row r="120" spans="1:23" s="236" customFormat="1" ht="33.75" customHeight="1">
      <c r="A120" s="2339" t="s">
        <v>2837</v>
      </c>
      <c r="B120" s="2386" t="s">
        <v>714</v>
      </c>
      <c r="C120" s="2381">
        <v>188711925</v>
      </c>
      <c r="D120" s="1082" t="s">
        <v>471</v>
      </c>
      <c r="E120" s="1051">
        <v>290.86</v>
      </c>
      <c r="F120" s="1052">
        <f t="shared" si="36"/>
        <v>0.89924706044144931</v>
      </c>
      <c r="G120" s="1051">
        <v>551.58000000000004</v>
      </c>
      <c r="H120" s="1053">
        <v>552.41499999999996</v>
      </c>
      <c r="I120" s="1054">
        <f t="shared" si="34"/>
        <v>-1</v>
      </c>
      <c r="J120" s="1051">
        <v>672.18</v>
      </c>
      <c r="K120" s="1107">
        <v>0</v>
      </c>
      <c r="L120" s="1090">
        <v>563</v>
      </c>
      <c r="M120" s="1090">
        <v>620</v>
      </c>
      <c r="N120" s="2357"/>
      <c r="O120" s="2349" t="s">
        <v>4122</v>
      </c>
      <c r="P120" s="2343" t="s">
        <v>1173</v>
      </c>
      <c r="Q120" s="2343" t="s">
        <v>84</v>
      </c>
      <c r="R120" s="2343" t="s">
        <v>1993</v>
      </c>
      <c r="S120" s="2343" t="s">
        <v>1994</v>
      </c>
      <c r="T120" s="2343" t="s">
        <v>1993</v>
      </c>
      <c r="U120" s="2343" t="s">
        <v>1993</v>
      </c>
      <c r="V120" s="2345"/>
    </row>
    <row r="121" spans="1:23" s="236" customFormat="1" ht="33.75" customHeight="1">
      <c r="A121" s="2340"/>
      <c r="B121" s="2387"/>
      <c r="C121" s="2382"/>
      <c r="D121" s="1082" t="s">
        <v>2928</v>
      </c>
      <c r="E121" s="1051"/>
      <c r="F121" s="1052"/>
      <c r="G121" s="1051"/>
      <c r="H121" s="1053"/>
      <c r="I121" s="1054"/>
      <c r="J121" s="1051"/>
      <c r="K121" s="1150">
        <v>602.60199999999998</v>
      </c>
      <c r="L121" s="1090"/>
      <c r="M121" s="1090"/>
      <c r="N121" s="2357"/>
      <c r="O121" s="2363"/>
      <c r="P121" s="2345"/>
      <c r="Q121" s="2345"/>
      <c r="R121" s="2345"/>
      <c r="S121" s="2345"/>
      <c r="T121" s="2345"/>
      <c r="U121" s="2345"/>
      <c r="V121" s="2345"/>
    </row>
    <row r="122" spans="1:23" s="236" customFormat="1" ht="43.15" customHeight="1">
      <c r="A122" s="2346"/>
      <c r="B122" s="2388">
        <f>SUM(B120:B120)</f>
        <v>0</v>
      </c>
      <c r="C122" s="2424">
        <f>SUM(C120:C120)</f>
        <v>188711925</v>
      </c>
      <c r="D122" s="1083" t="s">
        <v>1076</v>
      </c>
      <c r="E122" s="1057">
        <f>E120</f>
        <v>290.86</v>
      </c>
      <c r="F122" s="1058">
        <f t="shared" si="36"/>
        <v>0.89924706044144931</v>
      </c>
      <c r="G122" s="1057">
        <f>G120</f>
        <v>551.58000000000004</v>
      </c>
      <c r="H122" s="1059">
        <f>H120</f>
        <v>552.41499999999996</v>
      </c>
      <c r="I122" s="1060">
        <f t="shared" si="34"/>
        <v>9.0850176045183417E-2</v>
      </c>
      <c r="J122" s="1057">
        <f>J120</f>
        <v>672.18</v>
      </c>
      <c r="K122" s="1151">
        <f>K121</f>
        <v>602.60199999999998</v>
      </c>
      <c r="L122" s="1059">
        <f t="shared" ref="L122" si="49">L120</f>
        <v>563</v>
      </c>
      <c r="M122" s="1059">
        <f t="shared" ref="M122" si="50">M120</f>
        <v>620</v>
      </c>
      <c r="N122" s="2357"/>
      <c r="O122" s="2350"/>
      <c r="P122" s="2344"/>
      <c r="Q122" s="2344"/>
      <c r="R122" s="2344"/>
      <c r="S122" s="2344"/>
      <c r="T122" s="2344"/>
      <c r="U122" s="2344"/>
      <c r="V122" s="2345"/>
    </row>
    <row r="123" spans="1:23" s="236" customFormat="1" ht="32.25" customHeight="1">
      <c r="A123" s="2339" t="s">
        <v>2836</v>
      </c>
      <c r="B123" s="2386" t="s">
        <v>711</v>
      </c>
      <c r="C123" s="2381">
        <v>188711925</v>
      </c>
      <c r="D123" s="1082" t="s">
        <v>471</v>
      </c>
      <c r="E123" s="1051">
        <v>55.84</v>
      </c>
      <c r="F123" s="1052">
        <f>(H123-E123)/E123</f>
        <v>5.5247134670486989E-2</v>
      </c>
      <c r="G123" s="1051">
        <v>58.54</v>
      </c>
      <c r="H123" s="1053">
        <v>58.924999999999997</v>
      </c>
      <c r="I123" s="1054">
        <f t="shared" si="34"/>
        <v>-1</v>
      </c>
      <c r="J123" s="1051">
        <v>76.897999999999996</v>
      </c>
      <c r="K123" s="1107">
        <v>0</v>
      </c>
      <c r="L123" s="1090">
        <v>68.52</v>
      </c>
      <c r="M123" s="1090">
        <v>50.7</v>
      </c>
      <c r="N123" s="2357"/>
      <c r="O123" s="2349" t="s">
        <v>4228</v>
      </c>
      <c r="P123" s="2343" t="s">
        <v>1174</v>
      </c>
      <c r="Q123" s="2343" t="s">
        <v>1103</v>
      </c>
      <c r="R123" s="2343" t="s">
        <v>1993</v>
      </c>
      <c r="S123" s="2343" t="s">
        <v>1994</v>
      </c>
      <c r="T123" s="2343" t="s">
        <v>1993</v>
      </c>
      <c r="U123" s="2343" t="s">
        <v>1993</v>
      </c>
      <c r="V123" s="2345"/>
    </row>
    <row r="124" spans="1:23" s="236" customFormat="1" ht="32.25" customHeight="1">
      <c r="A124" s="2340"/>
      <c r="B124" s="2387"/>
      <c r="C124" s="2382"/>
      <c r="D124" s="1082" t="s">
        <v>2928</v>
      </c>
      <c r="E124" s="1112"/>
      <c r="F124" s="1052"/>
      <c r="G124" s="1051"/>
      <c r="H124" s="1053"/>
      <c r="I124" s="1054"/>
      <c r="J124" s="1051"/>
      <c r="K124" s="1150">
        <v>78.697999999999993</v>
      </c>
      <c r="L124" s="1090"/>
      <c r="M124" s="1090"/>
      <c r="N124" s="2357"/>
      <c r="O124" s="2363"/>
      <c r="P124" s="2345"/>
      <c r="Q124" s="2345"/>
      <c r="R124" s="2345"/>
      <c r="S124" s="2345"/>
      <c r="T124" s="2345"/>
      <c r="U124" s="2345"/>
      <c r="V124" s="2345"/>
    </row>
    <row r="125" spans="1:23" s="236" customFormat="1" ht="68.45" customHeight="1">
      <c r="A125" s="2346"/>
      <c r="B125" s="2388"/>
      <c r="C125" s="2382"/>
      <c r="D125" s="1087" t="s">
        <v>1076</v>
      </c>
      <c r="E125" s="1088">
        <f>E123</f>
        <v>55.84</v>
      </c>
      <c r="F125" s="1058">
        <f t="shared" si="36"/>
        <v>5.5247134670486989E-2</v>
      </c>
      <c r="G125" s="1057">
        <f>G123</f>
        <v>58.54</v>
      </c>
      <c r="H125" s="1059">
        <f>H123</f>
        <v>58.924999999999997</v>
      </c>
      <c r="I125" s="1060">
        <f t="shared" si="34"/>
        <v>0.33556215528213817</v>
      </c>
      <c r="J125" s="1057">
        <f>J123</f>
        <v>76.897999999999996</v>
      </c>
      <c r="K125" s="1151">
        <f>K123+K124</f>
        <v>78.697999999999993</v>
      </c>
      <c r="L125" s="1059">
        <f t="shared" ref="L125" si="51">L123</f>
        <v>68.52</v>
      </c>
      <c r="M125" s="1059">
        <f t="shared" ref="M125" si="52">M123</f>
        <v>50.7</v>
      </c>
      <c r="N125" s="2357"/>
      <c r="O125" s="2350"/>
      <c r="P125" s="2344"/>
      <c r="Q125" s="2344"/>
      <c r="R125" s="2344"/>
      <c r="S125" s="2344"/>
      <c r="T125" s="2344"/>
      <c r="U125" s="2344"/>
      <c r="V125" s="2345"/>
    </row>
    <row r="126" spans="1:23" s="236" customFormat="1" ht="39.75" customHeight="1">
      <c r="A126" s="2339" t="s">
        <v>2835</v>
      </c>
      <c r="B126" s="2386" t="s">
        <v>355</v>
      </c>
      <c r="C126" s="2392">
        <v>188711925</v>
      </c>
      <c r="D126" s="1035" t="s">
        <v>471</v>
      </c>
      <c r="E126" s="1051">
        <v>1.5</v>
      </c>
      <c r="F126" s="1052">
        <f t="shared" si="36"/>
        <v>0</v>
      </c>
      <c r="G126" s="1051">
        <v>1.5</v>
      </c>
      <c r="H126" s="1053">
        <v>1.5</v>
      </c>
      <c r="I126" s="1054">
        <f t="shared" si="34"/>
        <v>-0.42666666666666664</v>
      </c>
      <c r="J126" s="1051">
        <v>0.86</v>
      </c>
      <c r="K126" s="1107">
        <v>0.86</v>
      </c>
      <c r="L126" s="1090">
        <v>0.66</v>
      </c>
      <c r="M126" s="1090">
        <v>0.66</v>
      </c>
      <c r="N126" s="2357"/>
      <c r="O126" s="2349" t="s">
        <v>1154</v>
      </c>
      <c r="P126" s="2343" t="s">
        <v>1175</v>
      </c>
      <c r="Q126" s="2343" t="s">
        <v>1104</v>
      </c>
      <c r="R126" s="2343" t="s">
        <v>1993</v>
      </c>
      <c r="S126" s="2343" t="s">
        <v>1994</v>
      </c>
      <c r="T126" s="2343" t="s">
        <v>1993</v>
      </c>
      <c r="U126" s="2343" t="s">
        <v>1993</v>
      </c>
      <c r="V126" s="2345"/>
    </row>
    <row r="127" spans="1:23" s="236" customFormat="1" ht="38.25" customHeight="1">
      <c r="A127" s="2346"/>
      <c r="B127" s="2387"/>
      <c r="C127" s="2393"/>
      <c r="D127" s="1152" t="s">
        <v>1076</v>
      </c>
      <c r="E127" s="1088">
        <f>E126</f>
        <v>1.5</v>
      </c>
      <c r="F127" s="1058">
        <f t="shared" si="36"/>
        <v>0</v>
      </c>
      <c r="G127" s="1088">
        <f>G126</f>
        <v>1.5</v>
      </c>
      <c r="H127" s="1089">
        <f>H126</f>
        <v>1.5</v>
      </c>
      <c r="I127" s="1060">
        <f t="shared" si="34"/>
        <v>-0.42666666666666664</v>
      </c>
      <c r="J127" s="1088">
        <f t="shared" ref="J127:M127" si="53">J126</f>
        <v>0.86</v>
      </c>
      <c r="K127" s="1089">
        <f t="shared" si="53"/>
        <v>0.86</v>
      </c>
      <c r="L127" s="1089">
        <f t="shared" si="53"/>
        <v>0.66</v>
      </c>
      <c r="M127" s="1089">
        <f t="shared" si="53"/>
        <v>0.66</v>
      </c>
      <c r="N127" s="2358"/>
      <c r="O127" s="2363"/>
      <c r="P127" s="2345"/>
      <c r="Q127" s="2345"/>
      <c r="R127" s="2345"/>
      <c r="S127" s="2345"/>
      <c r="T127" s="2345"/>
      <c r="U127" s="2345"/>
      <c r="V127" s="2345"/>
    </row>
    <row r="128" spans="1:23" s="626" customFormat="1" ht="48.75" customHeight="1">
      <c r="A128" s="1092" t="s">
        <v>2023</v>
      </c>
      <c r="B128" s="954" t="s">
        <v>3635</v>
      </c>
      <c r="C128" s="1045"/>
      <c r="D128" s="1017"/>
      <c r="E128" s="1094">
        <f t="shared" ref="E128" si="54">SUM(E130)</f>
        <v>1</v>
      </c>
      <c r="F128" s="1047">
        <f t="shared" si="36"/>
        <v>0.5</v>
      </c>
      <c r="G128" s="1094">
        <f>SUM(G130)</f>
        <v>2.2999999999999998</v>
      </c>
      <c r="H128" s="1095">
        <f>SUM(H130)</f>
        <v>1.5</v>
      </c>
      <c r="I128" s="1096">
        <f t="shared" si="34"/>
        <v>0.33333333333333326</v>
      </c>
      <c r="J128" s="1094">
        <f>SUM(J130)</f>
        <v>2.5</v>
      </c>
      <c r="K128" s="1095">
        <f t="shared" ref="K128:L128" si="55">SUM(K130)</f>
        <v>2</v>
      </c>
      <c r="L128" s="1095">
        <f t="shared" si="55"/>
        <v>2</v>
      </c>
      <c r="M128" s="1095">
        <f t="shared" ref="M128" si="56">SUM(M130)</f>
        <v>2</v>
      </c>
      <c r="N128" s="182" t="s">
        <v>978</v>
      </c>
      <c r="O128" s="1016"/>
      <c r="P128" s="1017" t="s">
        <v>1995</v>
      </c>
      <c r="Q128" s="954" t="s">
        <v>3624</v>
      </c>
      <c r="R128" s="970" t="s">
        <v>1805</v>
      </c>
      <c r="S128" s="970" t="s">
        <v>1805</v>
      </c>
      <c r="T128" s="970" t="s">
        <v>1805</v>
      </c>
      <c r="U128" s="970" t="s">
        <v>1805</v>
      </c>
      <c r="V128" s="970" t="s">
        <v>980</v>
      </c>
    </row>
    <row r="129" spans="1:22" s="236" customFormat="1" ht="39" customHeight="1">
      <c r="A129" s="2339" t="s">
        <v>2834</v>
      </c>
      <c r="B129" s="2387" t="s">
        <v>703</v>
      </c>
      <c r="C129" s="2382">
        <v>188711925</v>
      </c>
      <c r="D129" s="1098" t="s">
        <v>471</v>
      </c>
      <c r="E129" s="1099">
        <v>1</v>
      </c>
      <c r="F129" s="1052">
        <f>(H129-E129)/E129</f>
        <v>0.5</v>
      </c>
      <c r="G129" s="1099">
        <v>2.2999999999999998</v>
      </c>
      <c r="H129" s="1100">
        <v>1.5</v>
      </c>
      <c r="I129" s="1054">
        <f t="shared" si="34"/>
        <v>0.33333333333333326</v>
      </c>
      <c r="J129" s="1051">
        <v>2.5</v>
      </c>
      <c r="K129" s="1116">
        <v>2</v>
      </c>
      <c r="L129" s="1117">
        <v>2</v>
      </c>
      <c r="M129" s="1117">
        <v>2</v>
      </c>
      <c r="N129" s="2356" t="s">
        <v>2282</v>
      </c>
      <c r="O129" s="2363" t="s">
        <v>4123</v>
      </c>
      <c r="P129" s="2345" t="s">
        <v>1176</v>
      </c>
      <c r="Q129" s="2345" t="s">
        <v>1784</v>
      </c>
      <c r="R129" s="2345">
        <v>200</v>
      </c>
      <c r="S129" s="2345">
        <v>250</v>
      </c>
      <c r="T129" s="2345">
        <v>300</v>
      </c>
      <c r="U129" s="2345">
        <v>300</v>
      </c>
      <c r="V129" s="2343" t="s">
        <v>2283</v>
      </c>
    </row>
    <row r="130" spans="1:22" s="236" customFormat="1" ht="36.75" customHeight="1">
      <c r="A130" s="2346"/>
      <c r="B130" s="2387"/>
      <c r="C130" s="2382"/>
      <c r="D130" s="1087" t="s">
        <v>1076</v>
      </c>
      <c r="E130" s="1088">
        <f>E129</f>
        <v>1</v>
      </c>
      <c r="F130" s="1058">
        <f t="shared" si="36"/>
        <v>0.5</v>
      </c>
      <c r="G130" s="1088">
        <f>G129</f>
        <v>2.2999999999999998</v>
      </c>
      <c r="H130" s="1089">
        <f>H129</f>
        <v>1.5</v>
      </c>
      <c r="I130" s="1060">
        <f t="shared" si="34"/>
        <v>0.33333333333333326</v>
      </c>
      <c r="J130" s="1088">
        <f t="shared" ref="J130:M130" si="57">J129</f>
        <v>2.5</v>
      </c>
      <c r="K130" s="1089">
        <f t="shared" si="57"/>
        <v>2</v>
      </c>
      <c r="L130" s="1089">
        <f t="shared" si="57"/>
        <v>2</v>
      </c>
      <c r="M130" s="1089">
        <f t="shared" si="57"/>
        <v>2</v>
      </c>
      <c r="N130" s="2358"/>
      <c r="O130" s="2363"/>
      <c r="P130" s="2344"/>
      <c r="Q130" s="2344"/>
      <c r="R130" s="2344"/>
      <c r="S130" s="2344"/>
      <c r="T130" s="2344"/>
      <c r="U130" s="2344"/>
      <c r="V130" s="2344"/>
    </row>
    <row r="131" spans="1:22" s="626" customFormat="1" ht="49.15" customHeight="1">
      <c r="A131" s="1092" t="s">
        <v>2024</v>
      </c>
      <c r="B131" s="954" t="s">
        <v>562</v>
      </c>
      <c r="C131" s="1045"/>
      <c r="D131" s="1017"/>
      <c r="E131" s="1094">
        <f>SUM(E135,E172,E152,E159,E165,E162)</f>
        <v>262.99599999999998</v>
      </c>
      <c r="F131" s="1047">
        <f t="shared" si="36"/>
        <v>-6.5118861123363014E-2</v>
      </c>
      <c r="G131" s="1094" t="e">
        <f>SUM(G135,G172,G152,G159,G165,G162)</f>
        <v>#REF!</v>
      </c>
      <c r="H131" s="1095">
        <f>SUM(H135,H172,H152,H159,H165,H162)</f>
        <v>245.87</v>
      </c>
      <c r="I131" s="1096">
        <f t="shared" si="34"/>
        <v>0.48731443445723355</v>
      </c>
      <c r="J131" s="1094">
        <f>SUM(J135,J172,J152,J159,J165,J162)</f>
        <v>286.762</v>
      </c>
      <c r="K131" s="1095">
        <f>SUM(K135,K172,K152,K159,K165,K162)</f>
        <v>365.68600000000004</v>
      </c>
      <c r="L131" s="1095">
        <f>SUM(L135,L172,L152,L159,L165,L162)</f>
        <v>159.78</v>
      </c>
      <c r="M131" s="1095">
        <f>SUM(M135,M172,M152,M159,M165,M162)</f>
        <v>119.78</v>
      </c>
      <c r="N131" s="182" t="s">
        <v>973</v>
      </c>
      <c r="O131" s="1016"/>
      <c r="P131" s="1017" t="s">
        <v>1996</v>
      </c>
      <c r="Q131" s="954" t="s">
        <v>2284</v>
      </c>
      <c r="R131" s="999">
        <v>50</v>
      </c>
      <c r="S131" s="999">
        <v>50</v>
      </c>
      <c r="T131" s="999">
        <v>50</v>
      </c>
      <c r="U131" s="999">
        <v>50</v>
      </c>
      <c r="V131" s="1007" t="s">
        <v>3042</v>
      </c>
    </row>
    <row r="132" spans="1:22" s="236" customFormat="1" ht="42.75" customHeight="1">
      <c r="A132" s="2339" t="s">
        <v>2833</v>
      </c>
      <c r="B132" s="2387" t="s">
        <v>81</v>
      </c>
      <c r="C132" s="2413">
        <v>188711925</v>
      </c>
      <c r="D132" s="1153" t="s">
        <v>471</v>
      </c>
      <c r="E132" s="1154">
        <v>49</v>
      </c>
      <c r="F132" s="1052">
        <f t="shared" si="36"/>
        <v>0.57551020408163267</v>
      </c>
      <c r="G132" s="1154">
        <f>SUM(G137:G147)</f>
        <v>135.69999999999999</v>
      </c>
      <c r="H132" s="1155">
        <f t="shared" ref="H132" si="58">SUM(H137:H147)</f>
        <v>77.2</v>
      </c>
      <c r="I132" s="1054">
        <f t="shared" si="34"/>
        <v>1.7383419689119171</v>
      </c>
      <c r="J132" s="1051">
        <f>SUM(J136,J139,J137,J138,J140,J141,J142,J143,J144,J146,J147,)</f>
        <v>201.4</v>
      </c>
      <c r="K132" s="1053">
        <f>SUM(K136,K139,K137,K138,K140,K141,K142,K143,K144,K146,K147,K145)</f>
        <v>211.4</v>
      </c>
      <c r="L132" s="1053">
        <f t="shared" ref="L132:M132" si="59">SUM(L136,L139,L137,L138,L140,L141,L142,L143,L144,L146,L147,L145)</f>
        <v>104</v>
      </c>
      <c r="M132" s="1053">
        <f t="shared" si="59"/>
        <v>64</v>
      </c>
      <c r="N132" s="2364" t="s">
        <v>2267</v>
      </c>
      <c r="O132" s="2363" t="s">
        <v>4124</v>
      </c>
      <c r="P132" s="2343" t="s">
        <v>1177</v>
      </c>
      <c r="Q132" s="2343" t="s">
        <v>2036</v>
      </c>
      <c r="R132" s="2339">
        <v>3</v>
      </c>
      <c r="S132" s="2339">
        <v>5</v>
      </c>
      <c r="T132" s="2339">
        <v>5</v>
      </c>
      <c r="U132" s="2339">
        <v>5</v>
      </c>
      <c r="V132" s="2343" t="s">
        <v>3041</v>
      </c>
    </row>
    <row r="133" spans="1:22" s="236" customFormat="1" ht="27" hidden="1" customHeight="1">
      <c r="A133" s="2340"/>
      <c r="B133" s="2387"/>
      <c r="C133" s="2413"/>
      <c r="D133" s="1156" t="s">
        <v>246</v>
      </c>
      <c r="E133" s="948"/>
      <c r="F133" s="1052"/>
      <c r="G133" s="948"/>
      <c r="H133" s="1131"/>
      <c r="I133" s="1054" t="e">
        <f t="shared" si="34"/>
        <v>#DIV/0!</v>
      </c>
      <c r="J133" s="948"/>
      <c r="K133" s="1107"/>
      <c r="L133" s="1053"/>
      <c r="M133" s="1053"/>
      <c r="N133" s="2420"/>
      <c r="O133" s="2363"/>
      <c r="P133" s="2345"/>
      <c r="Q133" s="2345"/>
      <c r="R133" s="2340"/>
      <c r="S133" s="2340"/>
      <c r="T133" s="2340"/>
      <c r="U133" s="2340"/>
      <c r="V133" s="2345"/>
    </row>
    <row r="134" spans="1:22" s="236" customFormat="1" ht="27" hidden="1" customHeight="1">
      <c r="A134" s="2340"/>
      <c r="B134" s="2387"/>
      <c r="C134" s="2413"/>
      <c r="D134" s="1157" t="s">
        <v>413</v>
      </c>
      <c r="E134" s="1158"/>
      <c r="F134" s="1159"/>
      <c r="G134" s="1158"/>
      <c r="H134" s="1160"/>
      <c r="I134" s="1054" t="e">
        <f t="shared" si="34"/>
        <v>#DIV/0!</v>
      </c>
      <c r="J134" s="1158"/>
      <c r="K134" s="1161"/>
      <c r="L134" s="1162"/>
      <c r="M134" s="1162"/>
      <c r="N134" s="2420"/>
      <c r="O134" s="2363"/>
      <c r="P134" s="2345"/>
      <c r="Q134" s="2345"/>
      <c r="R134" s="2340"/>
      <c r="S134" s="2340"/>
      <c r="T134" s="2340"/>
      <c r="U134" s="2340"/>
      <c r="V134" s="2345"/>
    </row>
    <row r="135" spans="1:22" s="236" customFormat="1" ht="45.75" customHeight="1">
      <c r="A135" s="2346"/>
      <c r="B135" s="2388"/>
      <c r="C135" s="2422"/>
      <c r="D135" s="1056" t="s">
        <v>1076</v>
      </c>
      <c r="E135" s="1057">
        <f>E132</f>
        <v>49</v>
      </c>
      <c r="F135" s="1058">
        <f>(H135-E135)/E135</f>
        <v>0.57551020408163267</v>
      </c>
      <c r="G135" s="1057">
        <f>G132+G133+G134</f>
        <v>135.69999999999999</v>
      </c>
      <c r="H135" s="1059">
        <f>H132+H133+H134</f>
        <v>77.2</v>
      </c>
      <c r="I135" s="1060">
        <f t="shared" si="34"/>
        <v>1.7383419689119171</v>
      </c>
      <c r="J135" s="1057">
        <f t="shared" ref="J135:M135" si="60">J132+J133+J134</f>
        <v>201.4</v>
      </c>
      <c r="K135" s="1059">
        <f t="shared" si="60"/>
        <v>211.4</v>
      </c>
      <c r="L135" s="1059">
        <f t="shared" si="60"/>
        <v>104</v>
      </c>
      <c r="M135" s="1059">
        <f t="shared" si="60"/>
        <v>64</v>
      </c>
      <c r="N135" s="2421"/>
      <c r="O135" s="2350"/>
      <c r="P135" s="2344"/>
      <c r="Q135" s="2344"/>
      <c r="R135" s="2346"/>
      <c r="S135" s="2346"/>
      <c r="T135" s="2346"/>
      <c r="U135" s="2346"/>
      <c r="V135" s="2344"/>
    </row>
    <row r="136" spans="1:22" s="236" customFormat="1" ht="39" hidden="1" customHeight="1">
      <c r="A136" s="986"/>
      <c r="B136" s="963" t="s">
        <v>3546</v>
      </c>
      <c r="C136" s="1163"/>
      <c r="D136" s="1022"/>
      <c r="E136" s="1120"/>
      <c r="F136" s="1065"/>
      <c r="G136" s="1120"/>
      <c r="H136" s="1075"/>
      <c r="I136" s="1067"/>
      <c r="J136" s="1120">
        <v>72.599999999999994</v>
      </c>
      <c r="K136" s="989">
        <v>72.599999999999994</v>
      </c>
      <c r="L136" s="989"/>
      <c r="M136" s="989"/>
      <c r="N136" s="1312"/>
      <c r="O136" s="1019" t="s">
        <v>3625</v>
      </c>
      <c r="P136" s="1020"/>
      <c r="Q136" s="1020"/>
      <c r="R136" s="986"/>
      <c r="S136" s="986"/>
      <c r="T136" s="986"/>
      <c r="U136" s="986"/>
      <c r="V136" s="1020"/>
    </row>
    <row r="137" spans="1:22" s="236" customFormat="1" ht="34.15" hidden="1" customHeight="1">
      <c r="A137" s="990"/>
      <c r="B137" s="957" t="s">
        <v>3626</v>
      </c>
      <c r="C137" s="1164"/>
      <c r="D137" s="1165"/>
      <c r="E137" s="1166"/>
      <c r="F137" s="1065"/>
      <c r="G137" s="1166">
        <v>5</v>
      </c>
      <c r="H137" s="1167">
        <v>10</v>
      </c>
      <c r="I137" s="1067"/>
      <c r="J137" s="1166"/>
      <c r="K137" s="1167">
        <v>30</v>
      </c>
      <c r="L137" s="1167">
        <v>0</v>
      </c>
      <c r="M137" s="1167">
        <v>0</v>
      </c>
      <c r="N137" s="1313"/>
      <c r="O137" s="1021" t="s">
        <v>3634</v>
      </c>
      <c r="P137" s="1022"/>
      <c r="Q137" s="990"/>
      <c r="R137" s="990">
        <v>1</v>
      </c>
      <c r="S137" s="990"/>
      <c r="T137" s="990"/>
      <c r="U137" s="990"/>
      <c r="V137" s="1011"/>
    </row>
    <row r="138" spans="1:22" s="236" customFormat="1" ht="34.15" hidden="1" customHeight="1">
      <c r="A138" s="990"/>
      <c r="B138" s="957" t="s">
        <v>3628</v>
      </c>
      <c r="C138" s="1164"/>
      <c r="D138" s="1165"/>
      <c r="E138" s="1166"/>
      <c r="F138" s="1065"/>
      <c r="G138" s="1166"/>
      <c r="H138" s="1167"/>
      <c r="I138" s="1067"/>
      <c r="J138" s="1166"/>
      <c r="K138" s="1167">
        <v>0</v>
      </c>
      <c r="L138" s="1167">
        <v>40</v>
      </c>
      <c r="M138" s="1167">
        <v>0</v>
      </c>
      <c r="N138" s="1313"/>
      <c r="O138" s="1021" t="s">
        <v>3627</v>
      </c>
      <c r="P138" s="1022"/>
      <c r="Q138" s="990"/>
      <c r="R138" s="990"/>
      <c r="S138" s="990"/>
      <c r="T138" s="990"/>
      <c r="U138" s="990"/>
      <c r="V138" s="1011"/>
    </row>
    <row r="139" spans="1:22" s="236" customFormat="1" ht="38.25" hidden="1" customHeight="1">
      <c r="A139" s="990"/>
      <c r="B139" s="957" t="s">
        <v>3538</v>
      </c>
      <c r="C139" s="1164"/>
      <c r="D139" s="1165"/>
      <c r="E139" s="1166"/>
      <c r="F139" s="1065"/>
      <c r="G139" s="1166">
        <v>40</v>
      </c>
      <c r="H139" s="1167">
        <v>40</v>
      </c>
      <c r="I139" s="1067"/>
      <c r="J139" s="1168">
        <v>40</v>
      </c>
      <c r="K139" s="1167">
        <v>40</v>
      </c>
      <c r="L139" s="1167">
        <v>14</v>
      </c>
      <c r="M139" s="1167">
        <v>14</v>
      </c>
      <c r="N139" s="1313"/>
      <c r="O139" s="1021"/>
      <c r="P139" s="1022"/>
      <c r="Q139" s="990"/>
      <c r="R139" s="990">
        <v>2</v>
      </c>
      <c r="S139" s="990"/>
      <c r="T139" s="990"/>
      <c r="U139" s="990"/>
      <c r="V139" s="1011"/>
    </row>
    <row r="140" spans="1:22" s="236" customFormat="1" ht="31.5" hidden="1" customHeight="1">
      <c r="A140" s="990"/>
      <c r="B140" s="964" t="s">
        <v>3629</v>
      </c>
      <c r="C140" s="1169"/>
      <c r="D140" s="1165"/>
      <c r="E140" s="1166"/>
      <c r="F140" s="1065"/>
      <c r="G140" s="1166">
        <v>11</v>
      </c>
      <c r="H140" s="1167">
        <v>10</v>
      </c>
      <c r="I140" s="1067"/>
      <c r="J140" s="1168">
        <v>15</v>
      </c>
      <c r="K140" s="1167">
        <v>15</v>
      </c>
      <c r="L140" s="1167">
        <v>15</v>
      </c>
      <c r="M140" s="1167">
        <v>15</v>
      </c>
      <c r="N140" s="1314"/>
      <c r="O140" s="1023"/>
      <c r="P140" s="1024"/>
      <c r="Q140" s="994"/>
      <c r="R140" s="994"/>
      <c r="S140" s="994"/>
      <c r="T140" s="994"/>
      <c r="U140" s="994"/>
      <c r="V140" s="1014"/>
    </row>
    <row r="141" spans="1:22" s="236" customFormat="1" ht="42" hidden="1" customHeight="1">
      <c r="A141" s="990"/>
      <c r="B141" s="964" t="s">
        <v>2737</v>
      </c>
      <c r="C141" s="1169"/>
      <c r="D141" s="1165"/>
      <c r="E141" s="1166"/>
      <c r="F141" s="1065"/>
      <c r="G141" s="1166">
        <v>10</v>
      </c>
      <c r="H141" s="1167">
        <v>2.5</v>
      </c>
      <c r="I141" s="1067"/>
      <c r="J141" s="1166">
        <v>35</v>
      </c>
      <c r="K141" s="1167">
        <v>15</v>
      </c>
      <c r="L141" s="1167">
        <v>15</v>
      </c>
      <c r="M141" s="1167">
        <v>15</v>
      </c>
      <c r="N141" s="1314"/>
      <c r="O141" s="1023"/>
      <c r="P141" s="1024"/>
      <c r="Q141" s="994"/>
      <c r="R141" s="994"/>
      <c r="S141" s="994"/>
      <c r="T141" s="994"/>
      <c r="U141" s="994"/>
      <c r="V141" s="1014"/>
    </row>
    <row r="142" spans="1:22" s="236" customFormat="1" ht="28.15" hidden="1" customHeight="1">
      <c r="A142" s="994"/>
      <c r="B142" s="964" t="s">
        <v>3630</v>
      </c>
      <c r="C142" s="1169"/>
      <c r="D142" s="1165"/>
      <c r="E142" s="1166"/>
      <c r="F142" s="1065"/>
      <c r="G142" s="1166"/>
      <c r="H142" s="1167"/>
      <c r="I142" s="1067"/>
      <c r="J142" s="1166">
        <v>8</v>
      </c>
      <c r="K142" s="1167">
        <v>8</v>
      </c>
      <c r="L142" s="1170"/>
      <c r="M142" s="1170"/>
      <c r="N142" s="1314"/>
      <c r="O142" s="1023"/>
      <c r="P142" s="1024"/>
      <c r="Q142" s="994"/>
      <c r="R142" s="994"/>
      <c r="S142" s="994"/>
      <c r="T142" s="994"/>
      <c r="U142" s="994"/>
      <c r="V142" s="1014"/>
    </row>
    <row r="143" spans="1:22" s="236" customFormat="1" ht="27" hidden="1" customHeight="1">
      <c r="A143" s="994"/>
      <c r="B143" s="964" t="s">
        <v>2738</v>
      </c>
      <c r="C143" s="1169"/>
      <c r="D143" s="1165"/>
      <c r="E143" s="1166"/>
      <c r="F143" s="1065"/>
      <c r="G143" s="1166">
        <v>15</v>
      </c>
      <c r="H143" s="1167"/>
      <c r="I143" s="1067"/>
      <c r="J143" s="1166"/>
      <c r="K143" s="1167"/>
      <c r="L143" s="1167"/>
      <c r="M143" s="1167"/>
      <c r="N143" s="1314"/>
      <c r="O143" s="1023"/>
      <c r="P143" s="1024"/>
      <c r="Q143" s="994"/>
      <c r="R143" s="994"/>
      <c r="S143" s="994"/>
      <c r="T143" s="994"/>
      <c r="U143" s="994"/>
      <c r="V143" s="1014"/>
    </row>
    <row r="144" spans="1:22" s="236" customFormat="1" ht="41.25" hidden="1" customHeight="1">
      <c r="A144" s="994"/>
      <c r="B144" s="964" t="s">
        <v>3545</v>
      </c>
      <c r="C144" s="1169"/>
      <c r="D144" s="1165"/>
      <c r="E144" s="1166"/>
      <c r="F144" s="1065"/>
      <c r="G144" s="1166">
        <v>40</v>
      </c>
      <c r="H144" s="1167"/>
      <c r="I144" s="1067"/>
      <c r="J144" s="1166">
        <v>30.8</v>
      </c>
      <c r="K144" s="1167">
        <v>30.8</v>
      </c>
      <c r="L144" s="1167"/>
      <c r="M144" s="1167"/>
      <c r="N144" s="1314"/>
      <c r="O144" s="1023"/>
      <c r="P144" s="1024"/>
      <c r="Q144" s="994"/>
      <c r="R144" s="994"/>
      <c r="S144" s="994"/>
      <c r="T144" s="994"/>
      <c r="U144" s="994"/>
      <c r="V144" s="1014"/>
    </row>
    <row r="145" spans="1:22" s="236" customFormat="1" ht="33.6" hidden="1" customHeight="1">
      <c r="A145" s="994"/>
      <c r="B145" s="964" t="s">
        <v>3631</v>
      </c>
      <c r="C145" s="1169"/>
      <c r="D145" s="1165"/>
      <c r="E145" s="1166"/>
      <c r="F145" s="1065"/>
      <c r="G145" s="1166"/>
      <c r="H145" s="1167"/>
      <c r="I145" s="1067"/>
      <c r="J145" s="1166"/>
      <c r="K145" s="1167"/>
      <c r="L145" s="1167">
        <v>20</v>
      </c>
      <c r="M145" s="1167">
        <v>20</v>
      </c>
      <c r="N145" s="1314"/>
      <c r="O145" s="1023"/>
      <c r="P145" s="1024"/>
      <c r="Q145" s="994"/>
      <c r="R145" s="994"/>
      <c r="S145" s="994"/>
      <c r="T145" s="994"/>
      <c r="U145" s="994"/>
      <c r="V145" s="1014"/>
    </row>
    <row r="146" spans="1:22" s="236" customFormat="1" ht="27" hidden="1" customHeight="1">
      <c r="A146" s="994"/>
      <c r="B146" s="964" t="s">
        <v>2739</v>
      </c>
      <c r="C146" s="1169"/>
      <c r="D146" s="1165"/>
      <c r="E146" s="1166"/>
      <c r="F146" s="1065"/>
      <c r="G146" s="1166">
        <v>4.7</v>
      </c>
      <c r="H146" s="1167">
        <v>4.7</v>
      </c>
      <c r="I146" s="1067"/>
      <c r="J146" s="1166"/>
      <c r="K146" s="1167"/>
      <c r="L146" s="1167"/>
      <c r="M146" s="1167"/>
      <c r="N146" s="1314"/>
      <c r="O146" s="1023"/>
      <c r="P146" s="1024"/>
      <c r="Q146" s="994"/>
      <c r="R146" s="994"/>
      <c r="S146" s="994"/>
      <c r="T146" s="994"/>
      <c r="U146" s="994"/>
      <c r="V146" s="1014"/>
    </row>
    <row r="147" spans="1:22" s="236" customFormat="1" ht="27" hidden="1" customHeight="1">
      <c r="A147" s="994"/>
      <c r="B147" s="964" t="s">
        <v>3632</v>
      </c>
      <c r="C147" s="1169"/>
      <c r="D147" s="1165"/>
      <c r="E147" s="1166"/>
      <c r="F147" s="1065"/>
      <c r="G147" s="1166">
        <v>10</v>
      </c>
      <c r="H147" s="1167">
        <v>10</v>
      </c>
      <c r="I147" s="1067"/>
      <c r="J147" s="1166"/>
      <c r="K147" s="1167"/>
      <c r="L147" s="1167"/>
      <c r="M147" s="1167"/>
      <c r="N147" s="1314"/>
      <c r="O147" s="1023"/>
      <c r="P147" s="1024"/>
      <c r="Q147" s="994"/>
      <c r="R147" s="994"/>
      <c r="S147" s="994"/>
      <c r="T147" s="994"/>
      <c r="U147" s="994"/>
      <c r="V147" s="1014"/>
    </row>
    <row r="148" spans="1:22" s="236" customFormat="1" ht="32.25" customHeight="1">
      <c r="A148" s="2339" t="s">
        <v>2832</v>
      </c>
      <c r="B148" s="2386" t="s">
        <v>439</v>
      </c>
      <c r="C148" s="2419">
        <v>188711925</v>
      </c>
      <c r="D148" s="1035" t="s">
        <v>471</v>
      </c>
      <c r="E148" s="1051">
        <v>20</v>
      </c>
      <c r="F148" s="1052">
        <f t="shared" si="36"/>
        <v>-0.25</v>
      </c>
      <c r="G148" s="1051">
        <v>27</v>
      </c>
      <c r="H148" s="1053">
        <v>15</v>
      </c>
      <c r="I148" s="1054">
        <f t="shared" si="34"/>
        <v>0</v>
      </c>
      <c r="J148" s="1051">
        <f>SUM(J155,J158)</f>
        <v>15</v>
      </c>
      <c r="K148" s="1053">
        <f>SUM(K158)</f>
        <v>15</v>
      </c>
      <c r="L148" s="1053">
        <f t="shared" ref="L148:M148" si="61">SUM(L155,L158)</f>
        <v>0</v>
      </c>
      <c r="M148" s="1053">
        <f t="shared" si="61"/>
        <v>0</v>
      </c>
      <c r="N148" s="2356" t="s">
        <v>2267</v>
      </c>
      <c r="O148" s="2349" t="s">
        <v>2702</v>
      </c>
      <c r="P148" s="2343" t="s">
        <v>1178</v>
      </c>
      <c r="Q148" s="2343" t="s">
        <v>612</v>
      </c>
      <c r="R148" s="2343">
        <v>90</v>
      </c>
      <c r="S148" s="2343">
        <v>90</v>
      </c>
      <c r="T148" s="2343">
        <v>90</v>
      </c>
      <c r="U148" s="2343">
        <v>90</v>
      </c>
      <c r="V148" s="2343" t="s">
        <v>3041</v>
      </c>
    </row>
    <row r="149" spans="1:22" s="236" customFormat="1" ht="33" customHeight="1">
      <c r="A149" s="2340"/>
      <c r="B149" s="2387"/>
      <c r="C149" s="2389"/>
      <c r="D149" s="1035" t="s">
        <v>2928</v>
      </c>
      <c r="E149" s="1051"/>
      <c r="F149" s="1052"/>
      <c r="G149" s="1051"/>
      <c r="H149" s="1053"/>
      <c r="I149" s="1054"/>
      <c r="J149" s="1051">
        <f>SUM(J156)</f>
        <v>32.445999999999998</v>
      </c>
      <c r="K149" s="1053">
        <v>32.445999999999998</v>
      </c>
      <c r="L149" s="1053">
        <f t="shared" ref="L149:M149" si="62">SUM(L156)</f>
        <v>0</v>
      </c>
      <c r="M149" s="1053">
        <f t="shared" si="62"/>
        <v>0</v>
      </c>
      <c r="N149" s="2357"/>
      <c r="O149" s="2363"/>
      <c r="P149" s="2345"/>
      <c r="Q149" s="2345"/>
      <c r="R149" s="2345"/>
      <c r="S149" s="2345"/>
      <c r="T149" s="2345"/>
      <c r="U149" s="2345"/>
      <c r="V149" s="2345"/>
    </row>
    <row r="150" spans="1:22" s="236" customFormat="1" ht="33" customHeight="1">
      <c r="A150" s="2340"/>
      <c r="B150" s="2387"/>
      <c r="C150" s="2389"/>
      <c r="D150" s="1035" t="s">
        <v>413</v>
      </c>
      <c r="E150" s="1051"/>
      <c r="F150" s="1052"/>
      <c r="G150" s="1051"/>
      <c r="H150" s="1053"/>
      <c r="I150" s="1054"/>
      <c r="J150" s="1051">
        <f>SUM(J154)</f>
        <v>10.066000000000001</v>
      </c>
      <c r="K150" s="1053">
        <f t="shared" ref="K150:M150" si="63">SUM(K154)</f>
        <v>10.066000000000001</v>
      </c>
      <c r="L150" s="1053">
        <f t="shared" si="63"/>
        <v>0</v>
      </c>
      <c r="M150" s="1053">
        <f t="shared" si="63"/>
        <v>0</v>
      </c>
      <c r="N150" s="2357"/>
      <c r="O150" s="2363"/>
      <c r="P150" s="2345"/>
      <c r="Q150" s="2345"/>
      <c r="R150" s="2345"/>
      <c r="S150" s="2345"/>
      <c r="T150" s="2345"/>
      <c r="U150" s="2345"/>
      <c r="V150" s="2345"/>
    </row>
    <row r="151" spans="1:22" s="236" customFormat="1" ht="32.25" customHeight="1">
      <c r="A151" s="2340"/>
      <c r="B151" s="2387"/>
      <c r="C151" s="2389"/>
      <c r="D151" s="1035" t="s">
        <v>246</v>
      </c>
      <c r="E151" s="1051"/>
      <c r="F151" s="1052"/>
      <c r="G151" s="1051"/>
      <c r="H151" s="1053"/>
      <c r="I151" s="1054"/>
      <c r="J151" s="1051">
        <f>SUM(J153)</f>
        <v>30.533999999999999</v>
      </c>
      <c r="K151" s="1053">
        <f t="shared" ref="K151:M151" si="64">SUM(K153)</f>
        <v>30.533999999999999</v>
      </c>
      <c r="L151" s="1053">
        <f t="shared" si="64"/>
        <v>0</v>
      </c>
      <c r="M151" s="1053">
        <f t="shared" si="64"/>
        <v>0</v>
      </c>
      <c r="N151" s="2357"/>
      <c r="O151" s="2363"/>
      <c r="P151" s="2345"/>
      <c r="Q151" s="2345"/>
      <c r="R151" s="2345"/>
      <c r="S151" s="2345"/>
      <c r="T151" s="2345"/>
      <c r="U151" s="2345"/>
      <c r="V151" s="2345"/>
    </row>
    <row r="152" spans="1:22" s="236" customFormat="1" ht="38.25" customHeight="1">
      <c r="A152" s="2346"/>
      <c r="B152" s="2388"/>
      <c r="C152" s="2390"/>
      <c r="D152" s="1056" t="s">
        <v>1076</v>
      </c>
      <c r="E152" s="1057">
        <f>E148</f>
        <v>20</v>
      </c>
      <c r="F152" s="1058">
        <f t="shared" si="36"/>
        <v>-0.25</v>
      </c>
      <c r="G152" s="1057">
        <f>G148</f>
        <v>27</v>
      </c>
      <c r="H152" s="1059">
        <f>H148</f>
        <v>15</v>
      </c>
      <c r="I152" s="1060">
        <f t="shared" si="34"/>
        <v>4.8697333333333326</v>
      </c>
      <c r="J152" s="1057">
        <f t="shared" ref="J152" si="65">J148</f>
        <v>15</v>
      </c>
      <c r="K152" s="1059">
        <f>SUM(K148,K149,K150,K151)</f>
        <v>88.045999999999992</v>
      </c>
      <c r="L152" s="1059">
        <f t="shared" ref="L152:M152" si="66">SUM(L148,L149,L150,L151)</f>
        <v>0</v>
      </c>
      <c r="M152" s="1059">
        <f t="shared" si="66"/>
        <v>0</v>
      </c>
      <c r="N152" s="2357"/>
      <c r="O152" s="2350"/>
      <c r="P152" s="2344"/>
      <c r="Q152" s="2344"/>
      <c r="R152" s="2344"/>
      <c r="S152" s="2344"/>
      <c r="T152" s="2344"/>
      <c r="U152" s="2344"/>
      <c r="V152" s="2345"/>
    </row>
    <row r="153" spans="1:22" s="236" customFormat="1" ht="34.5" customHeight="1">
      <c r="A153" s="2408" t="s">
        <v>3358</v>
      </c>
      <c r="B153" s="2404" t="s">
        <v>4229</v>
      </c>
      <c r="C153" s="2412"/>
      <c r="D153" s="1035" t="s">
        <v>246</v>
      </c>
      <c r="E153" s="1051"/>
      <c r="F153" s="1052"/>
      <c r="G153" s="1051"/>
      <c r="H153" s="1171"/>
      <c r="I153" s="1172"/>
      <c r="J153" s="1173">
        <v>30.533999999999999</v>
      </c>
      <c r="K153" s="1174">
        <v>30.533999999999999</v>
      </c>
      <c r="L153" s="1174"/>
      <c r="M153" s="1174"/>
      <c r="N153" s="2357"/>
      <c r="O153" s="2406" t="s">
        <v>4230</v>
      </c>
      <c r="P153" s="2347" t="s">
        <v>3639</v>
      </c>
      <c r="Q153" s="2347" t="s">
        <v>3640</v>
      </c>
      <c r="R153" s="1025"/>
      <c r="S153" s="2347" t="s">
        <v>434</v>
      </c>
      <c r="T153" s="2347" t="s">
        <v>324</v>
      </c>
      <c r="U153" s="2347" t="s">
        <v>434</v>
      </c>
      <c r="V153" s="2345"/>
    </row>
    <row r="154" spans="1:22" s="236" customFormat="1" ht="34.5" customHeight="1">
      <c r="A154" s="2409"/>
      <c r="B154" s="2411"/>
      <c r="C154" s="2413"/>
      <c r="D154" s="1035" t="s">
        <v>413</v>
      </c>
      <c r="E154" s="1051"/>
      <c r="F154" s="1052"/>
      <c r="G154" s="1051"/>
      <c r="H154" s="1171"/>
      <c r="I154" s="1172"/>
      <c r="J154" s="1173">
        <v>10.066000000000001</v>
      </c>
      <c r="K154" s="1174">
        <v>10.066000000000001</v>
      </c>
      <c r="L154" s="1174"/>
      <c r="M154" s="1174"/>
      <c r="N154" s="2357"/>
      <c r="O154" s="2415"/>
      <c r="P154" s="2365"/>
      <c r="Q154" s="2365"/>
      <c r="R154" s="1025"/>
      <c r="S154" s="2365"/>
      <c r="T154" s="2365"/>
      <c r="U154" s="2365"/>
      <c r="V154" s="2345"/>
    </row>
    <row r="155" spans="1:22" s="236" customFormat="1" ht="33" customHeight="1">
      <c r="A155" s="2409"/>
      <c r="B155" s="2411"/>
      <c r="C155" s="2413"/>
      <c r="D155" s="1035" t="s">
        <v>471</v>
      </c>
      <c r="E155" s="1051"/>
      <c r="F155" s="1052"/>
      <c r="G155" s="1051"/>
      <c r="H155" s="1171"/>
      <c r="I155" s="1172"/>
      <c r="J155" s="1173">
        <v>0</v>
      </c>
      <c r="K155" s="1174">
        <v>0</v>
      </c>
      <c r="L155" s="1174"/>
      <c r="M155" s="1174"/>
      <c r="N155" s="2357"/>
      <c r="O155" s="2415"/>
      <c r="P155" s="2365"/>
      <c r="Q155" s="2365"/>
      <c r="R155" s="1025"/>
      <c r="S155" s="2365"/>
      <c r="T155" s="2365"/>
      <c r="U155" s="2365"/>
      <c r="V155" s="2345"/>
    </row>
    <row r="156" spans="1:22" s="236" customFormat="1" ht="33" customHeight="1">
      <c r="A156" s="2409"/>
      <c r="B156" s="2411"/>
      <c r="C156" s="2413"/>
      <c r="D156" s="1035" t="s">
        <v>2928</v>
      </c>
      <c r="E156" s="1051"/>
      <c r="F156" s="1052"/>
      <c r="G156" s="1051"/>
      <c r="H156" s="1171"/>
      <c r="I156" s="1172"/>
      <c r="J156" s="1173">
        <v>32.445999999999998</v>
      </c>
      <c r="K156" s="1174">
        <v>32.445999999999998</v>
      </c>
      <c r="L156" s="1174"/>
      <c r="M156" s="1174"/>
      <c r="N156" s="2357"/>
      <c r="O156" s="2415"/>
      <c r="P156" s="2365"/>
      <c r="Q156" s="2365"/>
      <c r="R156" s="1025"/>
      <c r="S156" s="2365"/>
      <c r="T156" s="2365"/>
      <c r="U156" s="2365"/>
      <c r="V156" s="2345"/>
    </row>
    <row r="157" spans="1:22" s="236" customFormat="1" ht="33" customHeight="1">
      <c r="A157" s="2410"/>
      <c r="B157" s="2405"/>
      <c r="C157" s="2414"/>
      <c r="D157" s="1056" t="s">
        <v>1076</v>
      </c>
      <c r="E157" s="1057"/>
      <c r="F157" s="1058"/>
      <c r="G157" s="1057"/>
      <c r="H157" s="1175"/>
      <c r="I157" s="1176"/>
      <c r="J157" s="1177">
        <f>SUM(J153,J154,J155,J156,)</f>
        <v>73.045999999999992</v>
      </c>
      <c r="K157" s="1178">
        <f t="shared" ref="K157:M157" si="67">SUM(K153,K154,K155,K156,)</f>
        <v>73.045999999999992</v>
      </c>
      <c r="L157" s="1178">
        <f t="shared" si="67"/>
        <v>0</v>
      </c>
      <c r="M157" s="1178">
        <f t="shared" si="67"/>
        <v>0</v>
      </c>
      <c r="N157" s="2357"/>
      <c r="O157" s="2416"/>
      <c r="P157" s="2348"/>
      <c r="Q157" s="2348"/>
      <c r="R157" s="1025"/>
      <c r="S157" s="2348"/>
      <c r="T157" s="2348"/>
      <c r="U157" s="2348"/>
      <c r="V157" s="2345"/>
    </row>
    <row r="158" spans="1:22" s="236" customFormat="1" ht="30.75" customHeight="1">
      <c r="A158" s="2408" t="s">
        <v>3633</v>
      </c>
      <c r="B158" s="2404" t="s">
        <v>1641</v>
      </c>
      <c r="C158" s="2372">
        <v>188711925</v>
      </c>
      <c r="D158" s="1035" t="s">
        <v>471</v>
      </c>
      <c r="E158" s="1051">
        <v>12</v>
      </c>
      <c r="F158" s="1052">
        <f t="shared" si="36"/>
        <v>-1</v>
      </c>
      <c r="G158" s="1051"/>
      <c r="H158" s="1171"/>
      <c r="I158" s="1179"/>
      <c r="J158" s="1173">
        <v>15</v>
      </c>
      <c r="K158" s="1174">
        <v>15</v>
      </c>
      <c r="L158" s="1174">
        <v>0</v>
      </c>
      <c r="M158" s="1174">
        <v>0</v>
      </c>
      <c r="N158" s="2357"/>
      <c r="O158" s="2406" t="s">
        <v>3641</v>
      </c>
      <c r="P158" s="2347" t="s">
        <v>3642</v>
      </c>
      <c r="Q158" s="2347" t="s">
        <v>1737</v>
      </c>
      <c r="R158" s="2347" t="s">
        <v>434</v>
      </c>
      <c r="S158" s="2347" t="s">
        <v>324</v>
      </c>
      <c r="T158" s="2347" t="s">
        <v>434</v>
      </c>
      <c r="U158" s="2347" t="s">
        <v>434</v>
      </c>
      <c r="V158" s="2345"/>
    </row>
    <row r="159" spans="1:22" s="236" customFormat="1" ht="71.25" customHeight="1">
      <c r="A159" s="2410"/>
      <c r="B159" s="2405"/>
      <c r="C159" s="2390"/>
      <c r="D159" s="1056" t="s">
        <v>1076</v>
      </c>
      <c r="E159" s="1057">
        <f>E158</f>
        <v>12</v>
      </c>
      <c r="F159" s="1058">
        <f t="shared" si="36"/>
        <v>-1</v>
      </c>
      <c r="G159" s="1057" t="e">
        <f>G158+#REF!</f>
        <v>#REF!</v>
      </c>
      <c r="H159" s="1175"/>
      <c r="I159" s="1180"/>
      <c r="J159" s="1177">
        <f>J158</f>
        <v>15</v>
      </c>
      <c r="K159" s="1175">
        <f>K158</f>
        <v>15</v>
      </c>
      <c r="L159" s="1175">
        <f t="shared" ref="L159:M159" si="68">L158</f>
        <v>0</v>
      </c>
      <c r="M159" s="1175">
        <f t="shared" si="68"/>
        <v>0</v>
      </c>
      <c r="N159" s="2357"/>
      <c r="O159" s="2407"/>
      <c r="P159" s="2348"/>
      <c r="Q159" s="2348"/>
      <c r="R159" s="2348"/>
      <c r="S159" s="2348"/>
      <c r="T159" s="2348"/>
      <c r="U159" s="2348"/>
      <c r="V159" s="2345"/>
    </row>
    <row r="160" spans="1:22" s="236" customFormat="1" ht="33.75" customHeight="1">
      <c r="A160" s="2339" t="s">
        <v>2831</v>
      </c>
      <c r="B160" s="2386" t="s">
        <v>1083</v>
      </c>
      <c r="C160" s="2372">
        <v>188711925</v>
      </c>
      <c r="D160" s="1035" t="s">
        <v>471</v>
      </c>
      <c r="E160" s="1051">
        <v>5</v>
      </c>
      <c r="F160" s="1052">
        <f t="shared" si="36"/>
        <v>-1</v>
      </c>
      <c r="G160" s="1051">
        <v>0</v>
      </c>
      <c r="H160" s="1053">
        <v>0</v>
      </c>
      <c r="I160" s="1054"/>
      <c r="J160" s="1051">
        <v>10</v>
      </c>
      <c r="K160" s="1053">
        <v>5</v>
      </c>
      <c r="L160" s="1053">
        <v>5</v>
      </c>
      <c r="M160" s="1053">
        <v>5</v>
      </c>
      <c r="N160" s="2357"/>
      <c r="O160" s="2349" t="s">
        <v>3011</v>
      </c>
      <c r="P160" s="2343" t="s">
        <v>1179</v>
      </c>
      <c r="Q160" s="2343" t="s">
        <v>1105</v>
      </c>
      <c r="R160" s="2339">
        <v>3</v>
      </c>
      <c r="S160" s="2339">
        <v>3</v>
      </c>
      <c r="T160" s="2339">
        <v>3</v>
      </c>
      <c r="U160" s="2339">
        <v>3</v>
      </c>
      <c r="V160" s="2345"/>
    </row>
    <row r="161" spans="1:24" s="236" customFormat="1" ht="27" hidden="1" customHeight="1">
      <c r="A161" s="2340"/>
      <c r="B161" s="2387"/>
      <c r="C161" s="2389"/>
      <c r="D161" s="1035" t="s">
        <v>246</v>
      </c>
      <c r="E161" s="1051"/>
      <c r="F161" s="1052"/>
      <c r="G161" s="1051"/>
      <c r="H161" s="1053"/>
      <c r="I161" s="1054"/>
      <c r="J161" s="1051"/>
      <c r="K161" s="946"/>
      <c r="L161" s="1053"/>
      <c r="M161" s="1053"/>
      <c r="N161" s="2357"/>
      <c r="O161" s="2363"/>
      <c r="P161" s="2345"/>
      <c r="Q161" s="2345"/>
      <c r="R161" s="2340"/>
      <c r="S161" s="2340"/>
      <c r="T161" s="2340"/>
      <c r="U161" s="2340"/>
      <c r="V161" s="2345"/>
    </row>
    <row r="162" spans="1:24" s="236" customFormat="1" ht="35.25" customHeight="1">
      <c r="A162" s="2346"/>
      <c r="B162" s="2388"/>
      <c r="C162" s="2390"/>
      <c r="D162" s="1056" t="s">
        <v>1076</v>
      </c>
      <c r="E162" s="1057">
        <f>E160</f>
        <v>5</v>
      </c>
      <c r="F162" s="1058">
        <f t="shared" si="36"/>
        <v>-1</v>
      </c>
      <c r="G162" s="1057">
        <f>G160+G161</f>
        <v>0</v>
      </c>
      <c r="H162" s="1059">
        <f>H160+H161</f>
        <v>0</v>
      </c>
      <c r="I162" s="1060"/>
      <c r="J162" s="1057">
        <f>J160+J161</f>
        <v>10</v>
      </c>
      <c r="K162" s="1059">
        <f t="shared" ref="K162:L162" si="69">K160+K161</f>
        <v>5</v>
      </c>
      <c r="L162" s="1059">
        <f t="shared" si="69"/>
        <v>5</v>
      </c>
      <c r="M162" s="1059">
        <f t="shared" ref="M162" si="70">M160+M161</f>
        <v>5</v>
      </c>
      <c r="N162" s="2357"/>
      <c r="O162" s="2350"/>
      <c r="P162" s="2344"/>
      <c r="Q162" s="2344"/>
      <c r="R162" s="2346"/>
      <c r="S162" s="2346"/>
      <c r="T162" s="2346"/>
      <c r="U162" s="2346"/>
      <c r="V162" s="2345"/>
    </row>
    <row r="163" spans="1:24" s="236" customFormat="1" ht="33" customHeight="1">
      <c r="A163" s="2339" t="s">
        <v>2830</v>
      </c>
      <c r="B163" s="2386" t="s">
        <v>713</v>
      </c>
      <c r="C163" s="2372" t="s">
        <v>1080</v>
      </c>
      <c r="D163" s="1035" t="s">
        <v>471</v>
      </c>
      <c r="E163" s="1051">
        <v>33.006</v>
      </c>
      <c r="F163" s="1052">
        <f t="shared" si="36"/>
        <v>-1.0179967278676559E-2</v>
      </c>
      <c r="G163" s="1051">
        <v>31.8</v>
      </c>
      <c r="H163" s="1053">
        <f>SUM(H166:H168)</f>
        <v>32.67</v>
      </c>
      <c r="I163" s="1054"/>
      <c r="J163" s="1051">
        <v>45.362000000000002</v>
      </c>
      <c r="K163" s="1053">
        <f>SUM(K166,K167,K168,)</f>
        <v>46.24</v>
      </c>
      <c r="L163" s="1053">
        <f>SUM(L166,L167,L168,)</f>
        <v>50.78</v>
      </c>
      <c r="M163" s="1053">
        <f>SUM(M166,M167,M168,)</f>
        <v>50.78</v>
      </c>
      <c r="N163" s="2357"/>
      <c r="O163" s="2349" t="s">
        <v>3638</v>
      </c>
      <c r="P163" s="2343" t="s">
        <v>1180</v>
      </c>
      <c r="Q163" s="2343" t="s">
        <v>4231</v>
      </c>
      <c r="R163" s="2339" t="s">
        <v>2286</v>
      </c>
      <c r="S163" s="2339" t="s">
        <v>2286</v>
      </c>
      <c r="T163" s="2339" t="s">
        <v>2286</v>
      </c>
      <c r="U163" s="2339" t="s">
        <v>2286</v>
      </c>
      <c r="V163" s="2345"/>
    </row>
    <row r="164" spans="1:24" s="236" customFormat="1" ht="27" hidden="1" customHeight="1">
      <c r="A164" s="2340"/>
      <c r="B164" s="2387"/>
      <c r="C164" s="2389"/>
      <c r="D164" s="1035" t="s">
        <v>246</v>
      </c>
      <c r="E164" s="1051"/>
      <c r="F164" s="1052"/>
      <c r="G164" s="1051"/>
      <c r="H164" s="1053"/>
      <c r="I164" s="1054"/>
      <c r="J164" s="1051"/>
      <c r="K164" s="1053"/>
      <c r="L164" s="1053"/>
      <c r="M164" s="1053"/>
      <c r="N164" s="2357"/>
      <c r="O164" s="2363"/>
      <c r="P164" s="2345"/>
      <c r="Q164" s="2345"/>
      <c r="R164" s="2340"/>
      <c r="S164" s="2340"/>
      <c r="T164" s="2340"/>
      <c r="U164" s="2340"/>
      <c r="V164" s="2345"/>
    </row>
    <row r="165" spans="1:24" s="236" customFormat="1" ht="34.5" customHeight="1">
      <c r="A165" s="2346"/>
      <c r="B165" s="2388"/>
      <c r="C165" s="2390"/>
      <c r="D165" s="1056" t="s">
        <v>1076</v>
      </c>
      <c r="E165" s="1057">
        <f>E163</f>
        <v>33.006</v>
      </c>
      <c r="F165" s="1058">
        <f t="shared" si="36"/>
        <v>-1.0179967278676559E-2</v>
      </c>
      <c r="G165" s="1057">
        <f>G163+G164</f>
        <v>31.8</v>
      </c>
      <c r="H165" s="1059">
        <f>H163+H164</f>
        <v>32.67</v>
      </c>
      <c r="I165" s="1060">
        <f t="shared" ref="I165:I209" si="71">K165/H165-1</f>
        <v>0.41536577900214255</v>
      </c>
      <c r="J165" s="1057">
        <f t="shared" ref="J165:M165" si="72">J163+J164</f>
        <v>45.362000000000002</v>
      </c>
      <c r="K165" s="1059">
        <f t="shared" si="72"/>
        <v>46.24</v>
      </c>
      <c r="L165" s="1059">
        <f t="shared" si="72"/>
        <v>50.78</v>
      </c>
      <c r="M165" s="1059">
        <f t="shared" si="72"/>
        <v>50.78</v>
      </c>
      <c r="N165" s="2358"/>
      <c r="O165" s="2350"/>
      <c r="P165" s="2344"/>
      <c r="Q165" s="2344"/>
      <c r="R165" s="2346"/>
      <c r="S165" s="2346"/>
      <c r="T165" s="2346"/>
      <c r="U165" s="2346"/>
      <c r="V165" s="2344"/>
    </row>
    <row r="166" spans="1:24" s="236" customFormat="1" ht="31.5" hidden="1" customHeight="1">
      <c r="A166" s="990"/>
      <c r="B166" s="957" t="s">
        <v>2703</v>
      </c>
      <c r="C166" s="1181"/>
      <c r="D166" s="990"/>
      <c r="E166" s="989"/>
      <c r="F166" s="1182"/>
      <c r="G166" s="989">
        <v>45.362000000000002</v>
      </c>
      <c r="H166" s="989">
        <v>31.79</v>
      </c>
      <c r="I166" s="1183">
        <f t="shared" si="71"/>
        <v>-1</v>
      </c>
      <c r="J166" s="1068"/>
      <c r="K166" s="1068"/>
      <c r="L166" s="1068"/>
      <c r="M166" s="1068"/>
      <c r="N166" s="1315"/>
      <c r="O166" s="1009" t="s">
        <v>3636</v>
      </c>
      <c r="P166" s="1027"/>
      <c r="Q166" s="1027"/>
      <c r="R166" s="1028"/>
      <c r="S166" s="1028"/>
      <c r="T166" s="1028"/>
      <c r="U166" s="1028"/>
      <c r="V166" s="1027"/>
      <c r="W166" s="399"/>
      <c r="X166" s="399"/>
    </row>
    <row r="167" spans="1:24" s="236" customFormat="1" ht="30" hidden="1" customHeight="1">
      <c r="A167" s="990"/>
      <c r="B167" s="957" t="s">
        <v>2703</v>
      </c>
      <c r="C167" s="1181"/>
      <c r="D167" s="990"/>
      <c r="E167" s="989"/>
      <c r="F167" s="1182"/>
      <c r="G167" s="989"/>
      <c r="H167" s="989"/>
      <c r="I167" s="1183"/>
      <c r="J167" s="1068"/>
      <c r="K167" s="1068">
        <v>45.36</v>
      </c>
      <c r="L167" s="1068">
        <v>49.9</v>
      </c>
      <c r="M167" s="1068">
        <v>49.9</v>
      </c>
      <c r="N167" s="1315"/>
      <c r="O167" s="1009" t="s">
        <v>3637</v>
      </c>
      <c r="P167" s="1027"/>
      <c r="Q167" s="1027"/>
      <c r="R167" s="1028"/>
      <c r="S167" s="1028"/>
      <c r="T167" s="1028"/>
      <c r="U167" s="1028"/>
      <c r="V167" s="1027"/>
      <c r="W167" s="399"/>
      <c r="X167" s="399"/>
    </row>
    <row r="168" spans="1:24" s="236" customFormat="1" ht="30" hidden="1" customHeight="1">
      <c r="A168" s="990"/>
      <c r="B168" s="957" t="s">
        <v>2704</v>
      </c>
      <c r="C168" s="1181"/>
      <c r="D168" s="990"/>
      <c r="E168" s="989"/>
      <c r="F168" s="1182"/>
      <c r="G168" s="989">
        <v>0.872</v>
      </c>
      <c r="H168" s="989">
        <v>0.88</v>
      </c>
      <c r="I168" s="1183">
        <f t="shared" si="71"/>
        <v>0</v>
      </c>
      <c r="J168" s="1068">
        <v>0.88</v>
      </c>
      <c r="K168" s="1068">
        <v>0.88</v>
      </c>
      <c r="L168" s="1068">
        <v>0.88</v>
      </c>
      <c r="M168" s="1068">
        <v>0.88</v>
      </c>
      <c r="N168" s="1315"/>
      <c r="O168" s="1009"/>
      <c r="P168" s="1027"/>
      <c r="Q168" s="1027"/>
      <c r="R168" s="1028"/>
      <c r="S168" s="1028"/>
      <c r="T168" s="1028"/>
      <c r="U168" s="1028"/>
      <c r="V168" s="1027"/>
      <c r="W168" s="399"/>
      <c r="X168" s="399"/>
    </row>
    <row r="169" spans="1:24" s="236" customFormat="1" ht="27" hidden="1" customHeight="1">
      <c r="A169" s="2339" t="s">
        <v>3539</v>
      </c>
      <c r="B169" s="2417" t="s">
        <v>3010</v>
      </c>
      <c r="C169" s="2372">
        <v>188711925</v>
      </c>
      <c r="D169" s="1035" t="s">
        <v>2928</v>
      </c>
      <c r="E169" s="1051">
        <v>143.99</v>
      </c>
      <c r="F169" s="1052">
        <f t="shared" si="36"/>
        <v>-0.15966386554621853</v>
      </c>
      <c r="G169" s="1051">
        <v>160</v>
      </c>
      <c r="H169" s="1053">
        <v>121</v>
      </c>
      <c r="I169" s="1054">
        <f t="shared" si="71"/>
        <v>-1</v>
      </c>
      <c r="J169" s="1051"/>
      <c r="K169" s="1053">
        <v>0</v>
      </c>
      <c r="L169" s="1053">
        <v>0</v>
      </c>
      <c r="M169" s="1053">
        <v>0</v>
      </c>
      <c r="N169" s="2356" t="s">
        <v>2285</v>
      </c>
      <c r="O169" s="2349" t="s">
        <v>2706</v>
      </c>
      <c r="P169" s="2343" t="s">
        <v>1181</v>
      </c>
      <c r="Q169" s="2343" t="s">
        <v>1106</v>
      </c>
      <c r="R169" s="2339">
        <v>1</v>
      </c>
      <c r="S169" s="2339">
        <v>0</v>
      </c>
      <c r="T169" s="2339">
        <v>0</v>
      </c>
      <c r="U169" s="2339">
        <v>0</v>
      </c>
      <c r="V169" s="2343" t="s">
        <v>2300</v>
      </c>
      <c r="W169" s="403" t="s">
        <v>2037</v>
      </c>
      <c r="X169" s="236">
        <v>15000</v>
      </c>
    </row>
    <row r="170" spans="1:24" s="236" customFormat="1" ht="27" hidden="1" customHeight="1">
      <c r="A170" s="2340"/>
      <c r="B170" s="2418"/>
      <c r="C170" s="2389"/>
      <c r="D170" s="1035" t="s">
        <v>471</v>
      </c>
      <c r="E170" s="1051"/>
      <c r="F170" s="1052"/>
      <c r="G170" s="1051"/>
      <c r="H170" s="1053"/>
      <c r="I170" s="1054" t="e">
        <f t="shared" si="71"/>
        <v>#DIV/0!</v>
      </c>
      <c r="J170" s="1041"/>
      <c r="K170" s="1053"/>
      <c r="L170" s="1053"/>
      <c r="M170" s="1053"/>
      <c r="N170" s="2357"/>
      <c r="O170" s="2363"/>
      <c r="P170" s="2345"/>
      <c r="Q170" s="2345"/>
      <c r="R170" s="2340"/>
      <c r="S170" s="2340"/>
      <c r="T170" s="2340"/>
      <c r="U170" s="2340"/>
      <c r="V170" s="2345"/>
      <c r="W170" s="403"/>
    </row>
    <row r="171" spans="1:24" s="236" customFormat="1" ht="27" hidden="1" customHeight="1">
      <c r="A171" s="2340"/>
      <c r="B171" s="2418"/>
      <c r="C171" s="2389"/>
      <c r="D171" s="1035" t="s">
        <v>246</v>
      </c>
      <c r="E171" s="1051"/>
      <c r="F171" s="1052"/>
      <c r="G171" s="1051"/>
      <c r="H171" s="1053"/>
      <c r="I171" s="1054" t="e">
        <f t="shared" si="71"/>
        <v>#DIV/0!</v>
      </c>
      <c r="J171" s="1051">
        <v>0</v>
      </c>
      <c r="K171" s="1053"/>
      <c r="L171" s="1053"/>
      <c r="M171" s="1053"/>
      <c r="N171" s="2357"/>
      <c r="O171" s="2363"/>
      <c r="P171" s="2345"/>
      <c r="Q171" s="2345"/>
      <c r="R171" s="2340"/>
      <c r="S171" s="2340"/>
      <c r="T171" s="2340"/>
      <c r="U171" s="2340"/>
      <c r="V171" s="2345"/>
      <c r="W171" s="236" t="s">
        <v>2705</v>
      </c>
    </row>
    <row r="172" spans="1:24" s="236" customFormat="1" ht="27" hidden="1" customHeight="1">
      <c r="A172" s="2340"/>
      <c r="B172" s="2418"/>
      <c r="C172" s="2389"/>
      <c r="D172" s="1056" t="s">
        <v>1076</v>
      </c>
      <c r="E172" s="1057">
        <f>E169</f>
        <v>143.99</v>
      </c>
      <c r="F172" s="1058">
        <f t="shared" si="36"/>
        <v>-0.15966386554621853</v>
      </c>
      <c r="G172" s="1057">
        <f>G169+G171</f>
        <v>160</v>
      </c>
      <c r="H172" s="1059">
        <f>H169+H171</f>
        <v>121</v>
      </c>
      <c r="I172" s="1059" t="e">
        <f t="shared" ref="I172" si="73">I169+I171</f>
        <v>#DIV/0!</v>
      </c>
      <c r="J172" s="1057">
        <v>0</v>
      </c>
      <c r="K172" s="1059">
        <f t="shared" ref="K172:M172" si="74">SUM(K169,K170,K171)</f>
        <v>0</v>
      </c>
      <c r="L172" s="1059">
        <f t="shared" si="74"/>
        <v>0</v>
      </c>
      <c r="M172" s="1059">
        <f t="shared" si="74"/>
        <v>0</v>
      </c>
      <c r="N172" s="2358"/>
      <c r="O172" s="2363"/>
      <c r="P172" s="2345"/>
      <c r="Q172" s="2345"/>
      <c r="R172" s="2340"/>
      <c r="S172" s="2340"/>
      <c r="T172" s="2340"/>
      <c r="U172" s="2340"/>
      <c r="V172" s="2345"/>
    </row>
    <row r="173" spans="1:24" s="626" customFormat="1" ht="42.6" customHeight="1">
      <c r="A173" s="1017" t="s">
        <v>2025</v>
      </c>
      <c r="B173" s="954" t="s">
        <v>258</v>
      </c>
      <c r="C173" s="1185"/>
      <c r="D173" s="1017"/>
      <c r="E173" s="1094">
        <f t="shared" ref="E173:M173" si="75">SUM(E177)</f>
        <v>17</v>
      </c>
      <c r="F173" s="1047">
        <f t="shared" si="36"/>
        <v>-0.70588235294117652</v>
      </c>
      <c r="G173" s="1094">
        <f t="shared" si="75"/>
        <v>12</v>
      </c>
      <c r="H173" s="1095">
        <f t="shared" si="75"/>
        <v>5</v>
      </c>
      <c r="I173" s="1096">
        <f t="shared" si="71"/>
        <v>-1</v>
      </c>
      <c r="J173" s="1094">
        <f t="shared" si="75"/>
        <v>5</v>
      </c>
      <c r="K173" s="1095">
        <f t="shared" si="75"/>
        <v>0</v>
      </c>
      <c r="L173" s="1095">
        <f t="shared" si="75"/>
        <v>0</v>
      </c>
      <c r="M173" s="1095">
        <f t="shared" si="75"/>
        <v>0</v>
      </c>
      <c r="N173" s="1316"/>
      <c r="O173" s="1029"/>
      <c r="P173" s="1017" t="s">
        <v>1998</v>
      </c>
      <c r="Q173" s="954" t="s">
        <v>2001</v>
      </c>
      <c r="R173" s="954" t="s">
        <v>1746</v>
      </c>
      <c r="S173" s="954" t="s">
        <v>1746</v>
      </c>
      <c r="T173" s="954" t="s">
        <v>1746</v>
      </c>
      <c r="U173" s="954" t="s">
        <v>1746</v>
      </c>
      <c r="V173" s="2345"/>
    </row>
    <row r="174" spans="1:24" s="236" customFormat="1" ht="30.75" customHeight="1">
      <c r="A174" s="2340" t="s">
        <v>2829</v>
      </c>
      <c r="B174" s="2383" t="s">
        <v>699</v>
      </c>
      <c r="C174" s="2385">
        <v>188711925</v>
      </c>
      <c r="D174" s="1035" t="s">
        <v>471</v>
      </c>
      <c r="E174" s="1051">
        <v>17</v>
      </c>
      <c r="F174" s="1052">
        <f t="shared" si="36"/>
        <v>-0.70588235294117652</v>
      </c>
      <c r="G174" s="1051">
        <v>12</v>
      </c>
      <c r="H174" s="1053">
        <v>5</v>
      </c>
      <c r="I174" s="1054">
        <f t="shared" si="71"/>
        <v>-1</v>
      </c>
      <c r="J174" s="1051">
        <v>5</v>
      </c>
      <c r="K174" s="1053">
        <v>0</v>
      </c>
      <c r="L174" s="1053">
        <v>0</v>
      </c>
      <c r="M174" s="1053">
        <v>0</v>
      </c>
      <c r="N174" s="2376" t="s">
        <v>2285</v>
      </c>
      <c r="O174" s="2363" t="s">
        <v>4125</v>
      </c>
      <c r="P174" s="2345" t="s">
        <v>1182</v>
      </c>
      <c r="Q174" s="2345" t="s">
        <v>2000</v>
      </c>
      <c r="R174" s="2345">
        <v>3</v>
      </c>
      <c r="S174" s="2345" t="s">
        <v>433</v>
      </c>
      <c r="T174" s="2345" t="s">
        <v>433</v>
      </c>
      <c r="U174" s="2345" t="s">
        <v>433</v>
      </c>
      <c r="V174" s="2345"/>
    </row>
    <row r="175" spans="1:24" s="236" customFormat="1" ht="27" hidden="1" customHeight="1">
      <c r="A175" s="2340"/>
      <c r="B175" s="2383"/>
      <c r="C175" s="2385"/>
      <c r="D175" s="1035" t="s">
        <v>246</v>
      </c>
      <c r="E175" s="1051"/>
      <c r="F175" s="1052"/>
      <c r="G175" s="1051"/>
      <c r="H175" s="1053"/>
      <c r="I175" s="1054" t="e">
        <f t="shared" si="71"/>
        <v>#DIV/0!</v>
      </c>
      <c r="J175" s="1051"/>
      <c r="K175" s="1186"/>
      <c r="L175" s="1186"/>
      <c r="M175" s="1186"/>
      <c r="N175" s="2376"/>
      <c r="O175" s="2363"/>
      <c r="P175" s="2345"/>
      <c r="Q175" s="2345"/>
      <c r="R175" s="2345"/>
      <c r="S175" s="2345"/>
      <c r="T175" s="2345"/>
      <c r="U175" s="2345"/>
      <c r="V175" s="2345"/>
    </row>
    <row r="176" spans="1:24" s="236" customFormat="1" ht="27" hidden="1" customHeight="1">
      <c r="A176" s="2340"/>
      <c r="B176" s="2383"/>
      <c r="C176" s="2385"/>
      <c r="D176" s="1035" t="s">
        <v>413</v>
      </c>
      <c r="E176" s="1051"/>
      <c r="F176" s="1052"/>
      <c r="G176" s="1051"/>
      <c r="H176" s="1053"/>
      <c r="I176" s="1054" t="e">
        <f t="shared" si="71"/>
        <v>#DIV/0!</v>
      </c>
      <c r="J176" s="1051"/>
      <c r="K176" s="1186"/>
      <c r="L176" s="1186"/>
      <c r="M176" s="1186"/>
      <c r="N176" s="2376"/>
      <c r="O176" s="2363"/>
      <c r="P176" s="2345"/>
      <c r="Q176" s="2345"/>
      <c r="R176" s="2345"/>
      <c r="S176" s="2345"/>
      <c r="T176" s="2345"/>
      <c r="U176" s="2345"/>
      <c r="V176" s="2345"/>
    </row>
    <row r="177" spans="1:22" s="236" customFormat="1" ht="41.25" customHeight="1">
      <c r="A177" s="2346"/>
      <c r="B177" s="2384"/>
      <c r="C177" s="2385"/>
      <c r="D177" s="1056" t="s">
        <v>1076</v>
      </c>
      <c r="E177" s="1057">
        <f>E174</f>
        <v>17</v>
      </c>
      <c r="F177" s="1058">
        <f t="shared" si="36"/>
        <v>-0.70588235294117652</v>
      </c>
      <c r="G177" s="1057">
        <f>G174+G175+G176</f>
        <v>12</v>
      </c>
      <c r="H177" s="1059">
        <f>H174+H175+H176</f>
        <v>5</v>
      </c>
      <c r="I177" s="1060">
        <f t="shared" si="71"/>
        <v>-1</v>
      </c>
      <c r="J177" s="1057">
        <f t="shared" ref="J177:M177" si="76">J174+J175+J176</f>
        <v>5</v>
      </c>
      <c r="K177" s="1059">
        <f t="shared" si="76"/>
        <v>0</v>
      </c>
      <c r="L177" s="1059">
        <f t="shared" si="76"/>
        <v>0</v>
      </c>
      <c r="M177" s="1059">
        <f t="shared" si="76"/>
        <v>0</v>
      </c>
      <c r="N177" s="2376"/>
      <c r="O177" s="2350"/>
      <c r="P177" s="2344"/>
      <c r="Q177" s="2344"/>
      <c r="R177" s="2344"/>
      <c r="S177" s="2344"/>
      <c r="T177" s="2344"/>
      <c r="U177" s="2344"/>
      <c r="V177" s="2344"/>
    </row>
    <row r="178" spans="1:22" s="236" customFormat="1" ht="27" hidden="1" customHeight="1">
      <c r="A178" s="1187"/>
      <c r="B178" s="977" t="s">
        <v>2937</v>
      </c>
      <c r="C178" s="1188"/>
      <c r="D178" s="1189"/>
      <c r="E178" s="1127"/>
      <c r="F178" s="1103"/>
      <c r="G178" s="1127"/>
      <c r="H178" s="1005"/>
      <c r="I178" s="1054" t="e">
        <f t="shared" si="71"/>
        <v>#DIV/0!</v>
      </c>
      <c r="J178" s="1127"/>
      <c r="K178" s="1005"/>
      <c r="L178" s="1005"/>
      <c r="M178" s="1005"/>
      <c r="N178" s="1311"/>
      <c r="O178" s="1030"/>
      <c r="P178" s="1031"/>
      <c r="Q178" s="1032"/>
      <c r="R178" s="1032"/>
      <c r="S178" s="1032"/>
      <c r="T178" s="1033"/>
      <c r="U178" s="1033"/>
      <c r="V178" s="1032"/>
    </row>
    <row r="179" spans="1:22" s="626" customFormat="1" ht="76.5" customHeight="1">
      <c r="A179" s="1092" t="s">
        <v>2026</v>
      </c>
      <c r="B179" s="978" t="s">
        <v>698</v>
      </c>
      <c r="C179" s="1185"/>
      <c r="D179" s="1017"/>
      <c r="E179" s="1094">
        <f>SUM(E181,E189,E194,E196)</f>
        <v>96.589999999999989</v>
      </c>
      <c r="F179" s="1047">
        <f t="shared" si="36"/>
        <v>2.3895848431514652</v>
      </c>
      <c r="G179" s="1094">
        <f>SUM(G181,G189,G194,G196)</f>
        <v>193.24</v>
      </c>
      <c r="H179" s="1095">
        <f>SUM(H181,H189,H194,H196)</f>
        <v>327.39999999999998</v>
      </c>
      <c r="I179" s="1096">
        <f>K179/H179-1</f>
        <v>-0.39095907147220521</v>
      </c>
      <c r="J179" s="1094">
        <f>SUM(J181,J189,J194,J196)</f>
        <v>108</v>
      </c>
      <c r="K179" s="1095">
        <f>SUM(K181,K189,K194,K196)</f>
        <v>199.4</v>
      </c>
      <c r="L179" s="1095">
        <f>SUM(L181,L189,L194,L196)</f>
        <v>144.30000000000001</v>
      </c>
      <c r="M179" s="1095">
        <f>SUM(M181,M189,M194,M196)</f>
        <v>146.20000000000002</v>
      </c>
      <c r="N179" s="182" t="s">
        <v>982</v>
      </c>
      <c r="O179" s="998"/>
      <c r="P179" s="1017" t="s">
        <v>1999</v>
      </c>
      <c r="Q179" s="954" t="s">
        <v>4126</v>
      </c>
      <c r="R179" s="1017">
        <v>4</v>
      </c>
      <c r="S179" s="1017">
        <v>4</v>
      </c>
      <c r="T179" s="1034">
        <v>5</v>
      </c>
      <c r="U179" s="1034">
        <v>5</v>
      </c>
      <c r="V179" s="970" t="s">
        <v>984</v>
      </c>
    </row>
    <row r="180" spans="1:22" s="236" customFormat="1" ht="25.5" customHeight="1">
      <c r="A180" s="2339" t="s">
        <v>2828</v>
      </c>
      <c r="B180" s="2397" t="s">
        <v>251</v>
      </c>
      <c r="C180" s="2398">
        <v>188711925</v>
      </c>
      <c r="D180" s="1035" t="s">
        <v>471</v>
      </c>
      <c r="E180" s="1051">
        <v>33</v>
      </c>
      <c r="F180" s="1052">
        <f t="shared" si="36"/>
        <v>6.0636363636363635</v>
      </c>
      <c r="G180" s="1051">
        <f>G187+G182</f>
        <v>74</v>
      </c>
      <c r="H180" s="1053">
        <f>SUM(H182:H187)</f>
        <v>233.1</v>
      </c>
      <c r="I180" s="1053"/>
      <c r="J180" s="1051">
        <f>SUM(J182:J187)</f>
        <v>65</v>
      </c>
      <c r="K180" s="1053">
        <f>SUM(K182:K187)</f>
        <v>93</v>
      </c>
      <c r="L180" s="1053">
        <f t="shared" ref="L180:M180" si="77">SUM(L182:L187)</f>
        <v>43</v>
      </c>
      <c r="M180" s="1053">
        <f t="shared" si="77"/>
        <v>43</v>
      </c>
      <c r="N180" s="2402" t="s">
        <v>2285</v>
      </c>
      <c r="O180" s="2400"/>
      <c r="P180" s="2343" t="s">
        <v>1182</v>
      </c>
      <c r="Q180" s="2343" t="s">
        <v>1107</v>
      </c>
      <c r="R180" s="2339">
        <v>2</v>
      </c>
      <c r="S180" s="2339">
        <v>2</v>
      </c>
      <c r="T180" s="2339">
        <v>2</v>
      </c>
      <c r="U180" s="2339">
        <v>2</v>
      </c>
      <c r="V180" s="2343" t="s">
        <v>3043</v>
      </c>
    </row>
    <row r="181" spans="1:22" s="236" customFormat="1" ht="39.75" customHeight="1">
      <c r="A181" s="2346"/>
      <c r="B181" s="2384"/>
      <c r="C181" s="2399"/>
      <c r="D181" s="1056" t="s">
        <v>1076</v>
      </c>
      <c r="E181" s="1057">
        <f>E180</f>
        <v>33</v>
      </c>
      <c r="F181" s="1058">
        <f t="shared" si="36"/>
        <v>6.0636363636363635</v>
      </c>
      <c r="G181" s="1057">
        <f t="shared" ref="G181" si="78">G180</f>
        <v>74</v>
      </c>
      <c r="H181" s="1059">
        <f t="shared" ref="H181:M181" si="79">H180</f>
        <v>233.1</v>
      </c>
      <c r="I181" s="1060">
        <f t="shared" si="71"/>
        <v>-0.60102960102960101</v>
      </c>
      <c r="J181" s="1057">
        <f t="shared" si="79"/>
        <v>65</v>
      </c>
      <c r="K181" s="1059">
        <f t="shared" si="79"/>
        <v>93</v>
      </c>
      <c r="L181" s="1059">
        <f t="shared" si="79"/>
        <v>43</v>
      </c>
      <c r="M181" s="1059">
        <f t="shared" si="79"/>
        <v>43</v>
      </c>
      <c r="N181" s="2403"/>
      <c r="O181" s="2401"/>
      <c r="P181" s="2344"/>
      <c r="Q181" s="2344"/>
      <c r="R181" s="2346"/>
      <c r="S181" s="2346"/>
      <c r="T181" s="2346"/>
      <c r="U181" s="2346"/>
      <c r="V181" s="2345"/>
    </row>
    <row r="182" spans="1:22" s="236" customFormat="1" ht="20.100000000000001" hidden="1" customHeight="1">
      <c r="A182" s="990"/>
      <c r="B182" s="975" t="s">
        <v>1086</v>
      </c>
      <c r="C182" s="1190"/>
      <c r="D182" s="990" t="s">
        <v>471</v>
      </c>
      <c r="E182" s="989">
        <v>15</v>
      </c>
      <c r="F182" s="1182">
        <f t="shared" si="36"/>
        <v>-1</v>
      </c>
      <c r="G182" s="989"/>
      <c r="H182" s="989"/>
      <c r="I182" s="1183"/>
      <c r="J182" s="1068">
        <v>25</v>
      </c>
      <c r="K182" s="989"/>
      <c r="L182" s="989"/>
      <c r="M182" s="989"/>
      <c r="N182" s="1308"/>
      <c r="O182" s="985"/>
      <c r="P182" s="990"/>
      <c r="Q182" s="990"/>
      <c r="R182" s="990"/>
      <c r="S182" s="990"/>
      <c r="T182" s="991"/>
      <c r="U182" s="991"/>
      <c r="V182" s="2345"/>
    </row>
    <row r="183" spans="1:22" s="236" customFormat="1" ht="28.9" hidden="1" customHeight="1">
      <c r="A183" s="990"/>
      <c r="B183" s="975" t="s">
        <v>2748</v>
      </c>
      <c r="C183" s="1190"/>
      <c r="D183" s="990"/>
      <c r="E183" s="989"/>
      <c r="F183" s="1182"/>
      <c r="G183" s="989"/>
      <c r="H183" s="989">
        <v>12.1</v>
      </c>
      <c r="I183" s="1183"/>
      <c r="J183" s="1068"/>
      <c r="K183" s="989"/>
      <c r="L183" s="989"/>
      <c r="M183" s="989"/>
      <c r="N183" s="1308"/>
      <c r="O183" s="985"/>
      <c r="P183" s="990"/>
      <c r="Q183" s="990"/>
      <c r="R183" s="990"/>
      <c r="S183" s="990"/>
      <c r="T183" s="991"/>
      <c r="U183" s="991"/>
      <c r="V183" s="2345"/>
    </row>
    <row r="184" spans="1:22" s="236" customFormat="1" ht="20.100000000000001" hidden="1" customHeight="1">
      <c r="A184" s="990"/>
      <c r="B184" s="975" t="s">
        <v>3540</v>
      </c>
      <c r="C184" s="1190"/>
      <c r="D184" s="990"/>
      <c r="E184" s="989"/>
      <c r="F184" s="1182"/>
      <c r="G184" s="989"/>
      <c r="H184" s="989">
        <v>15</v>
      </c>
      <c r="I184" s="1183"/>
      <c r="J184" s="1068">
        <v>15</v>
      </c>
      <c r="K184" s="989">
        <v>10</v>
      </c>
      <c r="L184" s="989">
        <v>10</v>
      </c>
      <c r="M184" s="989">
        <v>10</v>
      </c>
      <c r="N184" s="1308"/>
      <c r="O184" s="985"/>
      <c r="P184" s="990"/>
      <c r="Q184" s="990"/>
      <c r="R184" s="990"/>
      <c r="S184" s="990"/>
      <c r="T184" s="991"/>
      <c r="U184" s="991"/>
      <c r="V184" s="2345"/>
    </row>
    <row r="185" spans="1:22" s="236" customFormat="1" ht="20.100000000000001" hidden="1" customHeight="1">
      <c r="A185" s="990"/>
      <c r="B185" s="975" t="s">
        <v>2740</v>
      </c>
      <c r="C185" s="1190"/>
      <c r="D185" s="990"/>
      <c r="E185" s="989"/>
      <c r="F185" s="1182"/>
      <c r="G185" s="989"/>
      <c r="H185" s="989">
        <v>123</v>
      </c>
      <c r="I185" s="1183"/>
      <c r="J185" s="1068"/>
      <c r="K185" s="989"/>
      <c r="L185" s="989"/>
      <c r="M185" s="989"/>
      <c r="N185" s="1308"/>
      <c r="O185" s="985"/>
      <c r="P185" s="990"/>
      <c r="Q185" s="990"/>
      <c r="R185" s="990"/>
      <c r="S185" s="990"/>
      <c r="T185" s="991"/>
      <c r="U185" s="991"/>
      <c r="V185" s="2345"/>
    </row>
    <row r="186" spans="1:22" s="236" customFormat="1" ht="20.100000000000001" hidden="1" customHeight="1">
      <c r="A186" s="990"/>
      <c r="B186" s="975" t="s">
        <v>3467</v>
      </c>
      <c r="C186" s="1190"/>
      <c r="D186" s="990"/>
      <c r="E186" s="989"/>
      <c r="F186" s="1182"/>
      <c r="G186" s="989"/>
      <c r="H186" s="989">
        <v>50</v>
      </c>
      <c r="I186" s="1183"/>
      <c r="J186" s="1068"/>
      <c r="K186" s="989">
        <v>50</v>
      </c>
      <c r="L186" s="989">
        <v>0</v>
      </c>
      <c r="M186" s="989">
        <v>0</v>
      </c>
      <c r="N186" s="1308"/>
      <c r="O186" s="985" t="s">
        <v>3466</v>
      </c>
      <c r="P186" s="990"/>
      <c r="Q186" s="990"/>
      <c r="R186" s="990"/>
      <c r="S186" s="990"/>
      <c r="T186" s="991"/>
      <c r="U186" s="991"/>
      <c r="V186" s="2345"/>
    </row>
    <row r="187" spans="1:22" s="236" customFormat="1" ht="26.45" hidden="1" customHeight="1">
      <c r="A187" s="990"/>
      <c r="B187" s="957" t="s">
        <v>2741</v>
      </c>
      <c r="C187" s="1191"/>
      <c r="D187" s="990" t="s">
        <v>471</v>
      </c>
      <c r="E187" s="989">
        <v>18</v>
      </c>
      <c r="F187" s="1182">
        <f t="shared" si="36"/>
        <v>0.83333333333333337</v>
      </c>
      <c r="G187" s="989">
        <v>74</v>
      </c>
      <c r="H187" s="989">
        <v>33</v>
      </c>
      <c r="I187" s="1183"/>
      <c r="J187" s="1068">
        <v>25</v>
      </c>
      <c r="K187" s="989">
        <v>33</v>
      </c>
      <c r="L187" s="989">
        <v>33</v>
      </c>
      <c r="M187" s="989">
        <v>33</v>
      </c>
      <c r="N187" s="591"/>
      <c r="O187" s="1009" t="s">
        <v>2749</v>
      </c>
      <c r="P187" s="990"/>
      <c r="Q187" s="990"/>
      <c r="R187" s="990"/>
      <c r="S187" s="990"/>
      <c r="T187" s="991"/>
      <c r="U187" s="991"/>
      <c r="V187" s="2345"/>
    </row>
    <row r="188" spans="1:22" s="236" customFormat="1" ht="34.9" customHeight="1">
      <c r="A188" s="2339" t="s">
        <v>2827</v>
      </c>
      <c r="B188" s="2386" t="s">
        <v>560</v>
      </c>
      <c r="C188" s="2372">
        <v>188711925</v>
      </c>
      <c r="D188" s="1035" t="s">
        <v>471</v>
      </c>
      <c r="E188" s="1051">
        <v>42.6</v>
      </c>
      <c r="F188" s="1052">
        <f>(H188-E188)/E188</f>
        <v>0.20422535211267595</v>
      </c>
      <c r="G188" s="1051">
        <f>G191+G190</f>
        <v>61.239999999999995</v>
      </c>
      <c r="H188" s="1053">
        <f>H191+H190</f>
        <v>51.3</v>
      </c>
      <c r="I188" s="1054">
        <f>K188/H188-1</f>
        <v>0.21052631578947367</v>
      </c>
      <c r="J188" s="1051">
        <v>0</v>
      </c>
      <c r="K188" s="1053">
        <f>SUM(K190,K191)</f>
        <v>62.1</v>
      </c>
      <c r="L188" s="1053">
        <f t="shared" ref="L188:M188" si="80">SUM(L190,L191)</f>
        <v>56.5</v>
      </c>
      <c r="M188" s="1053">
        <f t="shared" si="80"/>
        <v>57.900000000000006</v>
      </c>
      <c r="N188" s="2356" t="s">
        <v>2285</v>
      </c>
      <c r="O188" s="2349" t="s">
        <v>2002</v>
      </c>
      <c r="P188" s="2343" t="s">
        <v>1183</v>
      </c>
      <c r="Q188" s="2343" t="s">
        <v>283</v>
      </c>
      <c r="R188" s="2339"/>
      <c r="S188" s="2339"/>
      <c r="T188" s="2339"/>
      <c r="U188" s="2339"/>
      <c r="V188" s="2345"/>
    </row>
    <row r="189" spans="1:22" s="236" customFormat="1" ht="41.45" customHeight="1">
      <c r="A189" s="2346"/>
      <c r="B189" s="2388"/>
      <c r="C189" s="2390"/>
      <c r="D189" s="1056" t="s">
        <v>1076</v>
      </c>
      <c r="E189" s="1057">
        <f>E188</f>
        <v>42.6</v>
      </c>
      <c r="F189" s="1058">
        <f t="shared" si="36"/>
        <v>0.20422535211267595</v>
      </c>
      <c r="G189" s="1057">
        <f>G188</f>
        <v>61.239999999999995</v>
      </c>
      <c r="H189" s="1059">
        <f>H188</f>
        <v>51.3</v>
      </c>
      <c r="I189" s="1060">
        <f t="shared" si="71"/>
        <v>0.21052631578947367</v>
      </c>
      <c r="J189" s="1057">
        <f t="shared" ref="J189:M189" si="81">J188</f>
        <v>0</v>
      </c>
      <c r="K189" s="1059">
        <f t="shared" si="81"/>
        <v>62.1</v>
      </c>
      <c r="L189" s="1059">
        <f t="shared" si="81"/>
        <v>56.5</v>
      </c>
      <c r="M189" s="1059">
        <f t="shared" si="81"/>
        <v>57.900000000000006</v>
      </c>
      <c r="N189" s="2358"/>
      <c r="O189" s="2350"/>
      <c r="P189" s="2344"/>
      <c r="Q189" s="2344"/>
      <c r="R189" s="2346"/>
      <c r="S189" s="2346"/>
      <c r="T189" s="2346"/>
      <c r="U189" s="2346"/>
      <c r="V189" s="2345"/>
    </row>
    <row r="190" spans="1:22" s="236" customFormat="1" ht="20.100000000000001" hidden="1" customHeight="1">
      <c r="A190" s="1035"/>
      <c r="B190" s="957" t="s">
        <v>2707</v>
      </c>
      <c r="C190" s="1191"/>
      <c r="D190" s="1022"/>
      <c r="E190" s="1068"/>
      <c r="F190" s="1065"/>
      <c r="G190" s="1068">
        <v>24.24</v>
      </c>
      <c r="H190" s="989">
        <v>24.24</v>
      </c>
      <c r="I190" s="1067">
        <f t="shared" si="71"/>
        <v>0.15511551155115511</v>
      </c>
      <c r="J190" s="1068"/>
      <c r="K190" s="989">
        <v>28</v>
      </c>
      <c r="L190" s="989">
        <v>29.4</v>
      </c>
      <c r="M190" s="989">
        <v>30.8</v>
      </c>
      <c r="N190" s="591"/>
      <c r="O190" s="989"/>
      <c r="P190" s="990"/>
      <c r="Q190" s="990"/>
      <c r="R190" s="990"/>
      <c r="S190" s="990"/>
      <c r="T190" s="990"/>
      <c r="U190" s="990"/>
      <c r="V190" s="2345"/>
    </row>
    <row r="191" spans="1:22" s="236" customFormat="1" ht="20.100000000000001" hidden="1" customHeight="1">
      <c r="A191" s="1035"/>
      <c r="B191" s="957" t="s">
        <v>1087</v>
      </c>
      <c r="C191" s="1191"/>
      <c r="D191" s="1022"/>
      <c r="E191" s="1068"/>
      <c r="F191" s="1065"/>
      <c r="G191" s="1068">
        <v>37</v>
      </c>
      <c r="H191" s="989">
        <v>27.06</v>
      </c>
      <c r="I191" s="1067">
        <f t="shared" si="71"/>
        <v>0.26016260162601634</v>
      </c>
      <c r="J191" s="1068"/>
      <c r="K191" s="989">
        <f>27.1+7</f>
        <v>34.1</v>
      </c>
      <c r="L191" s="989">
        <v>27.1</v>
      </c>
      <c r="M191" s="989">
        <v>27.1</v>
      </c>
      <c r="N191" s="591"/>
      <c r="O191" s="989" t="s">
        <v>3716</v>
      </c>
      <c r="P191" s="990"/>
      <c r="Q191" s="990"/>
      <c r="R191" s="990"/>
      <c r="S191" s="990"/>
      <c r="T191" s="990"/>
      <c r="U191" s="990"/>
      <c r="V191" s="2345"/>
    </row>
    <row r="192" spans="1:22" s="236" customFormat="1" ht="30" customHeight="1">
      <c r="A192" s="2339" t="s">
        <v>2826</v>
      </c>
      <c r="B192" s="2386" t="s">
        <v>598</v>
      </c>
      <c r="C192" s="2372">
        <v>188711925</v>
      </c>
      <c r="D192" s="1035" t="s">
        <v>471</v>
      </c>
      <c r="E192" s="1051">
        <v>10</v>
      </c>
      <c r="F192" s="1052">
        <f t="shared" si="36"/>
        <v>2</v>
      </c>
      <c r="G192" s="1051">
        <v>45</v>
      </c>
      <c r="H192" s="1053">
        <v>30</v>
      </c>
      <c r="I192" s="1054">
        <f t="shared" si="71"/>
        <v>0</v>
      </c>
      <c r="J192" s="1051">
        <v>30</v>
      </c>
      <c r="K192" s="1053">
        <v>30</v>
      </c>
      <c r="L192" s="1053">
        <v>30</v>
      </c>
      <c r="M192" s="1053">
        <v>30</v>
      </c>
      <c r="N192" s="2356" t="s">
        <v>2285</v>
      </c>
      <c r="O192" s="2349" t="s">
        <v>4232</v>
      </c>
      <c r="P192" s="2343" t="s">
        <v>1184</v>
      </c>
      <c r="Q192" s="2343" t="s">
        <v>2038</v>
      </c>
      <c r="R192" s="2339">
        <v>1</v>
      </c>
      <c r="S192" s="2339">
        <v>1</v>
      </c>
      <c r="T192" s="2339">
        <v>1</v>
      </c>
      <c r="U192" s="2339">
        <v>1</v>
      </c>
      <c r="V192" s="2345"/>
    </row>
    <row r="193" spans="1:22" s="236" customFormat="1" ht="27" hidden="1" customHeight="1">
      <c r="A193" s="2340"/>
      <c r="B193" s="2387"/>
      <c r="C193" s="2389"/>
      <c r="D193" s="1035" t="s">
        <v>246</v>
      </c>
      <c r="E193" s="1051"/>
      <c r="F193" s="1052"/>
      <c r="G193" s="1051"/>
      <c r="H193" s="1053"/>
      <c r="I193" s="1054"/>
      <c r="J193" s="1051"/>
      <c r="K193" s="946"/>
      <c r="L193" s="946"/>
      <c r="M193" s="946"/>
      <c r="N193" s="2357"/>
      <c r="O193" s="2363"/>
      <c r="P193" s="2345"/>
      <c r="Q193" s="2345"/>
      <c r="R193" s="2340"/>
      <c r="S193" s="2340"/>
      <c r="T193" s="2340"/>
      <c r="U193" s="2340"/>
      <c r="V193" s="2345"/>
    </row>
    <row r="194" spans="1:22" s="236" customFormat="1" ht="81" customHeight="1">
      <c r="A194" s="2346"/>
      <c r="B194" s="2388"/>
      <c r="C194" s="2390"/>
      <c r="D194" s="1056" t="s">
        <v>1076</v>
      </c>
      <c r="E194" s="1057">
        <f>E192</f>
        <v>10</v>
      </c>
      <c r="F194" s="1058">
        <f t="shared" si="36"/>
        <v>2</v>
      </c>
      <c r="G194" s="1057">
        <f>G192+G193</f>
        <v>45</v>
      </c>
      <c r="H194" s="1059">
        <f>H192+H193</f>
        <v>30</v>
      </c>
      <c r="I194" s="1060">
        <f t="shared" si="71"/>
        <v>0</v>
      </c>
      <c r="J194" s="1057">
        <f t="shared" ref="J194:M194" si="82">J192+J193</f>
        <v>30</v>
      </c>
      <c r="K194" s="1059">
        <f t="shared" si="82"/>
        <v>30</v>
      </c>
      <c r="L194" s="1059">
        <f t="shared" si="82"/>
        <v>30</v>
      </c>
      <c r="M194" s="1059">
        <f t="shared" si="82"/>
        <v>30</v>
      </c>
      <c r="N194" s="2358"/>
      <c r="O194" s="2363"/>
      <c r="P194" s="2345"/>
      <c r="Q194" s="2345"/>
      <c r="R194" s="2340"/>
      <c r="S194" s="2340"/>
      <c r="T194" s="2340"/>
      <c r="U194" s="2340"/>
      <c r="V194" s="2344"/>
    </row>
    <row r="195" spans="1:22" s="236" customFormat="1" ht="35.25" customHeight="1">
      <c r="A195" s="2339" t="s">
        <v>2825</v>
      </c>
      <c r="B195" s="2386" t="s">
        <v>561</v>
      </c>
      <c r="C195" s="2372">
        <v>188711925</v>
      </c>
      <c r="D195" s="1035" t="s">
        <v>471</v>
      </c>
      <c r="E195" s="1051">
        <v>10.99</v>
      </c>
      <c r="F195" s="1052">
        <f t="shared" ref="F195:F208" si="83">(H195-E195)/E195</f>
        <v>0.18289353958143764</v>
      </c>
      <c r="G195" s="1051">
        <v>13</v>
      </c>
      <c r="H195" s="1053">
        <v>13</v>
      </c>
      <c r="I195" s="1054">
        <f t="shared" si="71"/>
        <v>0.10000000000000009</v>
      </c>
      <c r="J195" s="1051">
        <v>13</v>
      </c>
      <c r="K195" s="1053">
        <v>14.3</v>
      </c>
      <c r="L195" s="1053">
        <v>14.8</v>
      </c>
      <c r="M195" s="1053">
        <v>15.3</v>
      </c>
      <c r="N195" s="2394"/>
      <c r="O195" s="2395" t="s">
        <v>2467</v>
      </c>
      <c r="P195" s="2342" t="s">
        <v>1185</v>
      </c>
      <c r="Q195" s="2342" t="s">
        <v>1108</v>
      </c>
      <c r="R195" s="2341">
        <v>100</v>
      </c>
      <c r="S195" s="2341">
        <v>100</v>
      </c>
      <c r="T195" s="2341">
        <v>100</v>
      </c>
      <c r="U195" s="2341">
        <v>100</v>
      </c>
      <c r="V195" s="2342"/>
    </row>
    <row r="196" spans="1:22" s="236" customFormat="1" ht="39.75" customHeight="1">
      <c r="A196" s="2346"/>
      <c r="B196" s="2388"/>
      <c r="C196" s="2373"/>
      <c r="D196" s="1192" t="s">
        <v>1076</v>
      </c>
      <c r="E196" s="1193">
        <f>E195</f>
        <v>10.99</v>
      </c>
      <c r="F196" s="1194">
        <f t="shared" si="83"/>
        <v>0.18289353958143764</v>
      </c>
      <c r="G196" s="1193">
        <f t="shared" ref="G196" si="84">G195</f>
        <v>13</v>
      </c>
      <c r="H196" s="1195">
        <f t="shared" ref="H196:M196" si="85">H195</f>
        <v>13</v>
      </c>
      <c r="I196" s="1060">
        <f t="shared" si="71"/>
        <v>0.10000000000000009</v>
      </c>
      <c r="J196" s="1193">
        <f t="shared" si="85"/>
        <v>13</v>
      </c>
      <c r="K196" s="1195">
        <f t="shared" si="85"/>
        <v>14.3</v>
      </c>
      <c r="L196" s="1195">
        <f t="shared" si="85"/>
        <v>14.8</v>
      </c>
      <c r="M196" s="1195">
        <f t="shared" si="85"/>
        <v>15.3</v>
      </c>
      <c r="N196" s="2394"/>
      <c r="O196" s="2396"/>
      <c r="P196" s="2342"/>
      <c r="Q196" s="2342"/>
      <c r="R196" s="2341"/>
      <c r="S196" s="2341"/>
      <c r="T196" s="2341"/>
      <c r="U196" s="2341"/>
      <c r="V196" s="2342"/>
    </row>
    <row r="197" spans="1:22" s="236" customFormat="1" ht="62.45" customHeight="1">
      <c r="A197" s="2374"/>
      <c r="B197" s="2391"/>
      <c r="C197" s="2391"/>
      <c r="D197" s="2391"/>
      <c r="E197" s="1197" t="s">
        <v>1091</v>
      </c>
      <c r="F197" s="1197" t="str">
        <f t="shared" ref="F197:M197" si="86">F16</f>
        <v xml:space="preserve">Asignavimų pasikeitimas </v>
      </c>
      <c r="G197" s="1197" t="str">
        <f t="shared" si="86"/>
        <v xml:space="preserve">2024  m.asignavimų poreikis </v>
      </c>
      <c r="H197" s="1198" t="str">
        <f t="shared" si="86"/>
        <v>2024  m.asignavimai ir kitos lėšos, tūkst. Eur</v>
      </c>
      <c r="I197" s="1199" t="str">
        <f t="shared" si="86"/>
        <v xml:space="preserve">Pokytis proc. </v>
      </c>
      <c r="J197" s="1197" t="str">
        <f t="shared" si="86"/>
        <v>2025 m. asignavimų ir kitų lėšų poreikis , tūkst. Eur</v>
      </c>
      <c r="K197" s="186" t="str">
        <f t="shared" si="86"/>
        <v>2025 m. asignavimai ir kitos lėšos, tūkst. Eur</v>
      </c>
      <c r="L197" s="186" t="str">
        <f t="shared" si="86"/>
        <v>2026 m.asignavimai ir kitos lėšos, tūkst. Eur</v>
      </c>
      <c r="M197" s="186" t="str">
        <f t="shared" si="86"/>
        <v>2027 m.asignavimai ir kitos lėšos, tūkst. Eur</v>
      </c>
      <c r="N197" s="1036"/>
      <c r="O197" s="1036"/>
      <c r="P197" s="1036"/>
      <c r="Q197" s="1036"/>
      <c r="R197" s="1036"/>
      <c r="S197" s="1036"/>
      <c r="T197" s="1036"/>
      <c r="U197" s="1036"/>
      <c r="V197" s="1036"/>
    </row>
    <row r="198" spans="1:22" s="236" customFormat="1" ht="27.75" customHeight="1">
      <c r="A198" s="2375"/>
      <c r="B198" s="2366" t="s">
        <v>722</v>
      </c>
      <c r="C198" s="2366"/>
      <c r="D198" s="2366"/>
      <c r="E198" s="1200">
        <f>SUM(E199,E200,E203,E204,E205,E206,)</f>
        <v>4584.8110000000015</v>
      </c>
      <c r="F198" s="1052">
        <f>H198/E198-1</f>
        <v>0.26489488879694267</v>
      </c>
      <c r="G198" s="1200">
        <f>SUM(G199,G200,G203,G204,G205,G206,)</f>
        <v>5542.4879999999994</v>
      </c>
      <c r="H198" s="1055">
        <f>SUM(H199,H200,H203,H204,H205,H206,)</f>
        <v>5799.304000000001</v>
      </c>
      <c r="I198" s="1201">
        <f>K198/H198-1</f>
        <v>6.0652105838907566E-2</v>
      </c>
      <c r="J198" s="1200">
        <f t="shared" ref="J198" si="87">SUM(J199,J200,J203,J204,J205,J206,)</f>
        <v>6358.1909999999998</v>
      </c>
      <c r="K198" s="1055">
        <f>SUM(K199,K200,K203,K204,K205,K206,)</f>
        <v>6151.0440000000008</v>
      </c>
      <c r="L198" s="1055">
        <f>SUM(L199,L200,L203,L204,L205,L206,)</f>
        <v>5855.1740000000009</v>
      </c>
      <c r="M198" s="1055">
        <f>SUM(M199,M200,M203,M204,M205,M206,)</f>
        <v>6053.8639999999978</v>
      </c>
      <c r="N198" s="1037"/>
      <c r="O198" s="1037"/>
      <c r="P198" s="1038"/>
      <c r="Q198" s="1038"/>
      <c r="R198" s="1038"/>
      <c r="S198" s="1038"/>
      <c r="T198" s="1038"/>
      <c r="U198" s="1038"/>
      <c r="V198" s="1038"/>
    </row>
    <row r="199" spans="1:22" s="236" customFormat="1" ht="33" customHeight="1">
      <c r="A199" s="2375"/>
      <c r="B199" s="2368" t="s">
        <v>2027</v>
      </c>
      <c r="C199" s="2368"/>
      <c r="D199" s="2368"/>
      <c r="E199" s="1051">
        <f>SUM(E19,E30,E32,E34,E38,E46,E49,E90,E96,E104,E113,E115,E118,E120,E123,E126,E129,E132,E148,E158,E160,E163,E169,E174,E180,E188,E192,E195,E68)</f>
        <v>4339.3860000000013</v>
      </c>
      <c r="F199" s="1052">
        <f>H199/E199-1</f>
        <v>0.24010171024195559</v>
      </c>
      <c r="G199" s="1051">
        <f>SUM(G19,G30,G32,G34,G38,G46,G49,G90,G96,G104,G113,G115,G118,G120,G123,G126,G129,G132,G148,G158,G160,G163,G169,G174,G180,G188,G192,G195,G68)</f>
        <v>5291.9369999999999</v>
      </c>
      <c r="H199" s="1053">
        <f>SUM(H19,H30,H32,H34,H38,H46,H49,H90,H96,H104,H113,H115,H118,H120,H123,H126,H129,H132,H148,H158,H160,H163,H174,H180,H188,H192,H195,H68,H83)</f>
        <v>5381.2800000000007</v>
      </c>
      <c r="I199" s="1054">
        <f t="shared" si="71"/>
        <v>-5.1493325008176605E-2</v>
      </c>
      <c r="J199" s="1051">
        <f>SUM(J19,J30,J32,J34,J38,J46,J49,J90,J96,J104,J113,J115,J118,J120,J123,J126,J129,J132,J148,J160,J163,J174,J180,J188,J192,J195,J68,J83,J171,J78,J63,J60,)</f>
        <v>6179.7820000000002</v>
      </c>
      <c r="K199" s="1053">
        <f>SUM(K19,K30,K32,K34,K38,K46,K49,K90,K96,K104,K113,K115,K118,K120,K123,K126,K129,K132,K148,K160,K163,K174,K180,K188,K192,K195,K68,K83,K171,K78,K63,K60,)</f>
        <v>5104.18</v>
      </c>
      <c r="L199" s="1053">
        <f t="shared" ref="L199:M199" si="88">SUM(L19,L30,L32,L34,L38,L46,L49,L90,L96,L104,L113,L115,L118,L120,L123,L126,L129,L132,L148,L160,L163,L174,L180,L188,L192,L195,L68,L83,L171,L78,L63,L60,)</f>
        <v>5580.8700000000008</v>
      </c>
      <c r="M199" s="1053">
        <f t="shared" si="88"/>
        <v>5779.5599999999977</v>
      </c>
      <c r="N199" s="1150"/>
      <c r="O199" s="1038"/>
      <c r="P199" s="1038"/>
      <c r="Q199" s="1038"/>
      <c r="R199" s="1038"/>
      <c r="S199" s="1038"/>
      <c r="T199" s="1038"/>
      <c r="U199" s="1038"/>
      <c r="V199" s="1038"/>
    </row>
    <row r="200" spans="1:22" s="236" customFormat="1" ht="27.6" customHeight="1">
      <c r="A200" s="2375"/>
      <c r="B200" s="2368" t="s">
        <v>724</v>
      </c>
      <c r="C200" s="2368"/>
      <c r="D200" s="2368"/>
      <c r="E200" s="1051">
        <f>SUM(E37,E45,E48,E51,E53,E55,E57,E59,E65,E67,E70,E72,E74,E77,E80,E82,E85,E87,E89,E62)</f>
        <v>232.52999999999994</v>
      </c>
      <c r="F200" s="1052">
        <f t="shared" si="83"/>
        <v>0.20295875800971941</v>
      </c>
      <c r="G200" s="1051">
        <f>SUM(G37,G45,G48,G51,G53,G55,G57,G59,G65,G67,G70,G72,G74,G77,G80,G82,G85,G87,G89,G62)</f>
        <v>235.101</v>
      </c>
      <c r="H200" s="1053">
        <f>SUM(H37,H45,H48,H51,H53,H55,H57,H59,H65,H67,H70,H72,H74,H77,H80,H82,H85,H87,H89,H62)</f>
        <v>279.72399999999999</v>
      </c>
      <c r="I200" s="1054">
        <f t="shared" si="71"/>
        <v>-2.6526147202242112E-2</v>
      </c>
      <c r="J200" s="1051">
        <f>SUM(J37,J45,J48,J51,J53,J55,J57,J59,J65,J67,J70,J72,J74,J77,J80,J82,J85,J87,J89,J62)</f>
        <v>87.713000000000008</v>
      </c>
      <c r="K200" s="1053">
        <f>SUM(K201,K202)</f>
        <v>272.30400000000003</v>
      </c>
      <c r="L200" s="1053">
        <f>SUM(L201,L202)</f>
        <v>272.30400000000003</v>
      </c>
      <c r="M200" s="1053">
        <f t="shared" ref="M200" si="89">SUM(M201,M202)</f>
        <v>272.30400000000003</v>
      </c>
      <c r="N200" s="1150"/>
      <c r="O200" s="1038"/>
      <c r="P200" s="1038"/>
      <c r="Q200" s="1038"/>
      <c r="R200" s="1038"/>
      <c r="S200" s="1038"/>
      <c r="T200" s="1038"/>
      <c r="U200" s="1038"/>
      <c r="V200" s="1038"/>
    </row>
    <row r="201" spans="1:22" s="236" customFormat="1" ht="38.450000000000003" hidden="1" customHeight="1">
      <c r="A201" s="2375"/>
      <c r="B201" s="2369" t="s">
        <v>4150</v>
      </c>
      <c r="C201" s="2370"/>
      <c r="D201" s="2371"/>
      <c r="E201" s="1321"/>
      <c r="F201" s="1322"/>
      <c r="G201" s="1321"/>
      <c r="H201" s="1174">
        <f>SUM(H37,H45,H48,H51,H53,H55,H57,H59,H65,H67,H70,H72,H74,H77,H80,H82,H85,H87,H89,)</f>
        <v>255.30500000000001</v>
      </c>
      <c r="I201" s="1323">
        <f t="shared" si="71"/>
        <v>-3.0630030747537229E-2</v>
      </c>
      <c r="J201" s="1173"/>
      <c r="K201" s="1174">
        <f>SUM(K37,K45,K48,K51,K53,K55,K57,K59,K65,K67,K70,K72,K74,K77,K80,K82,K85,K87,K89,)</f>
        <v>247.48500000000001</v>
      </c>
      <c r="L201" s="1174">
        <f>SUM(L37,L45,L48,L51,L53,L55,L57,L59,L65,L67,L70,L72,L74,L77,L80,L82,L85,L87,L89,)</f>
        <v>247.48500000000001</v>
      </c>
      <c r="M201" s="1174">
        <f t="shared" ref="M201" si="90">SUM(M37,M45,M48,M51,M53,M55,M57,M59,M65,M67,M70,M72,M74,M77,M80,M82,M85,M87,M89,)</f>
        <v>247.48500000000001</v>
      </c>
      <c r="N201" s="1150"/>
      <c r="O201" s="1038"/>
      <c r="P201" s="1038"/>
      <c r="Q201" s="1038"/>
      <c r="R201" s="1038"/>
      <c r="S201" s="1038"/>
      <c r="T201" s="1038"/>
      <c r="U201" s="1038"/>
      <c r="V201" s="1038"/>
    </row>
    <row r="202" spans="1:22" s="236" customFormat="1" ht="35.450000000000003" hidden="1" customHeight="1">
      <c r="A202" s="2375"/>
      <c r="B202" s="2336" t="s">
        <v>4071</v>
      </c>
      <c r="C202" s="2337"/>
      <c r="D202" s="2338"/>
      <c r="E202" s="1321"/>
      <c r="F202" s="1322"/>
      <c r="G202" s="1321"/>
      <c r="H202" s="1174">
        <f>H200-H201</f>
        <v>24.418999999999983</v>
      </c>
      <c r="I202" s="1323">
        <f t="shared" si="71"/>
        <v>1.6380687169827546E-2</v>
      </c>
      <c r="J202" s="1173"/>
      <c r="K202" s="1174">
        <f>SUM(K62,K92)</f>
        <v>24.818999999999999</v>
      </c>
      <c r="L202" s="1174">
        <f>SUM(L62,L92)</f>
        <v>24.818999999999999</v>
      </c>
      <c r="M202" s="1174">
        <f t="shared" ref="M202" si="91">SUM(M62,M92)</f>
        <v>24.818999999999999</v>
      </c>
      <c r="N202" s="1150"/>
      <c r="O202" s="1038"/>
      <c r="P202" s="1038"/>
      <c r="Q202" s="1038"/>
      <c r="R202" s="1038"/>
      <c r="S202" s="1038"/>
      <c r="T202" s="1038"/>
      <c r="U202" s="1038"/>
      <c r="V202" s="1038"/>
    </row>
    <row r="203" spans="1:22" s="236" customFormat="1" ht="20.100000000000001" customHeight="1">
      <c r="A203" s="2375"/>
      <c r="B203" s="2368" t="s">
        <v>725</v>
      </c>
      <c r="C203" s="2368"/>
      <c r="D203" s="2368"/>
      <c r="E203" s="1051">
        <f>SUM(E20,E39)</f>
        <v>12.895</v>
      </c>
      <c r="F203" s="1052">
        <f t="shared" si="83"/>
        <v>0.34160527336176821</v>
      </c>
      <c r="G203" s="1051">
        <f>SUM(G20,G39)</f>
        <v>15.45</v>
      </c>
      <c r="H203" s="1053">
        <f>SUM(H20,H39)</f>
        <v>17.3</v>
      </c>
      <c r="I203" s="1054">
        <f t="shared" si="71"/>
        <v>0.16843930635838134</v>
      </c>
      <c r="J203" s="1051">
        <f>SUM(J20,J39,J97,)</f>
        <v>17.649999999999999</v>
      </c>
      <c r="K203" s="1053">
        <f>SUM(K20,K39,K97,K21)</f>
        <v>20.213999999999999</v>
      </c>
      <c r="L203" s="1053">
        <f>SUM(L20,L39,L97,)</f>
        <v>2</v>
      </c>
      <c r="M203" s="1053">
        <f>SUM(M20,M39,M97,)</f>
        <v>2</v>
      </c>
      <c r="N203" s="1150"/>
      <c r="O203" s="1038"/>
      <c r="P203" s="1038"/>
      <c r="Q203" s="1038"/>
      <c r="R203" s="1038"/>
      <c r="S203" s="1038"/>
      <c r="T203" s="1038"/>
      <c r="U203" s="1038"/>
      <c r="V203" s="1038"/>
    </row>
    <row r="204" spans="1:22" s="236" customFormat="1" ht="30" customHeight="1">
      <c r="A204" s="2375"/>
      <c r="B204" s="2368" t="s">
        <v>2861</v>
      </c>
      <c r="C204" s="2368"/>
      <c r="D204" s="2368"/>
      <c r="E204" s="1051">
        <v>0</v>
      </c>
      <c r="F204" s="1052"/>
      <c r="G204" s="1051">
        <v>0</v>
      </c>
      <c r="H204" s="1053">
        <v>0</v>
      </c>
      <c r="I204" s="1054" t="e">
        <f t="shared" si="71"/>
        <v>#DIV/0!</v>
      </c>
      <c r="J204" s="1051">
        <f>SUM(J193,J175,J171,J151,J150)</f>
        <v>40.6</v>
      </c>
      <c r="K204" s="1053">
        <f>SUM(K193,K175,K171,K151,K150)</f>
        <v>40.6</v>
      </c>
      <c r="L204" s="1053">
        <f t="shared" ref="L204:M204" si="92">SUM(L193,L175,L171,L151,L150)</f>
        <v>0</v>
      </c>
      <c r="M204" s="1053">
        <f t="shared" si="92"/>
        <v>0</v>
      </c>
      <c r="N204" s="1150"/>
      <c r="O204" s="1038"/>
      <c r="P204" s="1038"/>
      <c r="Q204" s="1038"/>
      <c r="R204" s="1038"/>
      <c r="S204" s="1038"/>
      <c r="T204" s="1038"/>
      <c r="U204" s="1038"/>
      <c r="V204" s="1038"/>
    </row>
    <row r="205" spans="1:22" s="236" customFormat="1" ht="20.100000000000001" customHeight="1">
      <c r="A205" s="2375"/>
      <c r="B205" s="2368" t="s">
        <v>726</v>
      </c>
      <c r="C205" s="2368"/>
      <c r="D205" s="2368"/>
      <c r="E205" s="1051">
        <v>0</v>
      </c>
      <c r="F205" s="1052"/>
      <c r="G205" s="1051">
        <v>0</v>
      </c>
      <c r="H205" s="1053">
        <v>0</v>
      </c>
      <c r="I205" s="1054" t="e">
        <f t="shared" si="71"/>
        <v>#DIV/0!</v>
      </c>
      <c r="J205" s="1051">
        <v>0</v>
      </c>
      <c r="K205" s="1053">
        <v>0</v>
      </c>
      <c r="L205" s="1053">
        <v>0</v>
      </c>
      <c r="M205" s="1053">
        <v>0</v>
      </c>
      <c r="N205" s="1150"/>
      <c r="O205" s="1038"/>
      <c r="P205" s="1038"/>
      <c r="Q205" s="1038"/>
      <c r="R205" s="1038"/>
      <c r="S205" s="1038"/>
      <c r="T205" s="1038"/>
      <c r="U205" s="1038"/>
      <c r="V205" s="1038"/>
    </row>
    <row r="206" spans="1:22" s="236" customFormat="1" ht="20.100000000000001" customHeight="1">
      <c r="A206" s="2375"/>
      <c r="B206" s="2368" t="s">
        <v>727</v>
      </c>
      <c r="C206" s="2368"/>
      <c r="D206" s="2368"/>
      <c r="E206" s="1051">
        <v>0</v>
      </c>
      <c r="F206" s="1052"/>
      <c r="G206" s="1051">
        <v>0</v>
      </c>
      <c r="H206" s="1053">
        <f>H169</f>
        <v>121</v>
      </c>
      <c r="I206" s="1054">
        <f t="shared" si="71"/>
        <v>4.8987272727272728</v>
      </c>
      <c r="J206" s="1051">
        <f>SUM(J169,J149)</f>
        <v>32.445999999999998</v>
      </c>
      <c r="K206" s="1053">
        <f>SUM(K169,K149,K121,K124)</f>
        <v>713.74599999999998</v>
      </c>
      <c r="L206" s="1053">
        <f t="shared" ref="L206:M206" si="93">SUM(L169,L149,L121,L124)</f>
        <v>0</v>
      </c>
      <c r="M206" s="1053">
        <f t="shared" si="93"/>
        <v>0</v>
      </c>
      <c r="N206" s="1150"/>
      <c r="O206" s="1038"/>
      <c r="P206" s="1038"/>
      <c r="Q206" s="1038"/>
      <c r="R206" s="1038"/>
      <c r="S206" s="1038"/>
      <c r="T206" s="1038"/>
      <c r="U206" s="1038"/>
      <c r="V206" s="1038"/>
    </row>
    <row r="207" spans="1:22" s="236" customFormat="1" ht="38.25" customHeight="1">
      <c r="A207" s="2375"/>
      <c r="B207" s="2366" t="s">
        <v>728</v>
      </c>
      <c r="C207" s="2366"/>
      <c r="D207" s="2366"/>
      <c r="E207" s="1051">
        <v>0</v>
      </c>
      <c r="F207" s="1052"/>
      <c r="G207" s="1051">
        <v>0</v>
      </c>
      <c r="H207" s="1053">
        <v>0</v>
      </c>
      <c r="I207" s="1054" t="e">
        <f t="shared" si="71"/>
        <v>#DIV/0!</v>
      </c>
      <c r="J207" s="1051">
        <v>0</v>
      </c>
      <c r="K207" s="1053">
        <v>0</v>
      </c>
      <c r="L207" s="1053">
        <v>0</v>
      </c>
      <c r="M207" s="1053">
        <v>0</v>
      </c>
      <c r="N207" s="1150"/>
      <c r="O207" s="1038"/>
      <c r="P207" s="1038"/>
      <c r="Q207" s="1038"/>
      <c r="R207" s="1038"/>
      <c r="S207" s="1038"/>
      <c r="T207" s="1038"/>
      <c r="U207" s="1038"/>
      <c r="V207" s="1038"/>
    </row>
    <row r="208" spans="1:22" s="236" customFormat="1" ht="29.25" customHeight="1">
      <c r="A208" s="2375"/>
      <c r="B208" s="2367" t="s">
        <v>1092</v>
      </c>
      <c r="C208" s="2367"/>
      <c r="D208" s="2367"/>
      <c r="E208" s="1200">
        <f>E198+E207</f>
        <v>4584.8110000000015</v>
      </c>
      <c r="F208" s="1052">
        <f t="shared" si="83"/>
        <v>0.26489488879694256</v>
      </c>
      <c r="G208" s="1200">
        <f>G198+G207</f>
        <v>5542.4879999999994</v>
      </c>
      <c r="H208" s="1055">
        <f>H198+H207</f>
        <v>5799.304000000001</v>
      </c>
      <c r="I208" s="1201">
        <f t="shared" si="71"/>
        <v>6.0652105838907566E-2</v>
      </c>
      <c r="J208" s="1200">
        <f>J198+J207</f>
        <v>6358.1909999999998</v>
      </c>
      <c r="K208" s="1055">
        <f>K198+K207</f>
        <v>6151.0440000000008</v>
      </c>
      <c r="L208" s="1055">
        <f>L198+L207</f>
        <v>5855.1740000000009</v>
      </c>
      <c r="M208" s="1055">
        <f t="shared" ref="M208" si="94">M198+M207</f>
        <v>6053.8639999999978</v>
      </c>
      <c r="N208" s="1037"/>
      <c r="O208" s="1038"/>
      <c r="P208" s="1038"/>
      <c r="Q208" s="1038"/>
      <c r="R208" s="1038"/>
      <c r="S208" s="1038"/>
      <c r="T208" s="1038"/>
      <c r="U208" s="1038"/>
      <c r="V208" s="1038"/>
    </row>
    <row r="209" spans="1:22" s="236" customFormat="1" ht="24" customHeight="1">
      <c r="A209" s="2375"/>
      <c r="B209" s="2366" t="s">
        <v>2028</v>
      </c>
      <c r="C209" s="2366"/>
      <c r="D209" s="2366"/>
      <c r="E209" s="1200">
        <v>0</v>
      </c>
      <c r="F209" s="1052"/>
      <c r="G209" s="1200">
        <v>0</v>
      </c>
      <c r="H209" s="1055">
        <v>0</v>
      </c>
      <c r="I209" s="1201" t="e">
        <f t="shared" si="71"/>
        <v>#DIV/0!</v>
      </c>
      <c r="J209" s="1200">
        <v>0</v>
      </c>
      <c r="K209" s="1055">
        <v>0</v>
      </c>
      <c r="L209" s="1055">
        <v>0</v>
      </c>
      <c r="M209" s="1055">
        <v>0</v>
      </c>
      <c r="N209" s="1037"/>
      <c r="O209" s="1038"/>
      <c r="P209" s="1038"/>
      <c r="Q209" s="1038"/>
      <c r="R209" s="1038"/>
      <c r="S209" s="1038"/>
      <c r="T209" s="1038"/>
      <c r="U209" s="1038"/>
      <c r="V209" s="1038"/>
    </row>
    <row r="210" spans="1:22" s="236" customFormat="1" ht="33.75" customHeight="1">
      <c r="A210" s="2375"/>
      <c r="B210" s="2367" t="s">
        <v>729</v>
      </c>
      <c r="C210" s="2367"/>
      <c r="D210" s="2367"/>
      <c r="E210" s="1200">
        <v>0</v>
      </c>
      <c r="F210" s="1052"/>
      <c r="G210" s="1200">
        <v>0</v>
      </c>
      <c r="H210" s="1202">
        <f>(H208-E208)/E208</f>
        <v>0.26489488879694256</v>
      </c>
      <c r="I210" s="1202"/>
      <c r="J210" s="1058"/>
      <c r="K210" s="1202">
        <f>K208/H208-1</f>
        <v>6.0652105838907566E-2</v>
      </c>
      <c r="L210" s="1202">
        <f>L208/K208-1</f>
        <v>-4.8100777689120688E-2</v>
      </c>
      <c r="M210" s="1202">
        <f>M208/L208-1</f>
        <v>3.3934089746948004E-2</v>
      </c>
      <c r="N210" s="1037"/>
      <c r="O210" s="1038"/>
      <c r="P210" s="1038"/>
      <c r="Q210" s="1038"/>
      <c r="R210" s="1038"/>
      <c r="S210" s="1038"/>
      <c r="T210" s="1038"/>
      <c r="U210" s="1038"/>
      <c r="V210" s="1038"/>
    </row>
    <row r="211" spans="1:22">
      <c r="E211" s="968"/>
      <c r="F211" s="968"/>
      <c r="V211" s="968"/>
    </row>
    <row r="212" spans="1:22" hidden="1">
      <c r="E212" s="968"/>
      <c r="F212" s="968"/>
      <c r="V212" s="968"/>
    </row>
    <row r="213" spans="1:22" hidden="1">
      <c r="E213" s="968"/>
      <c r="F213" s="968"/>
      <c r="H213" s="968">
        <v>5122.3</v>
      </c>
      <c r="V213" s="968"/>
    </row>
    <row r="214" spans="1:22" hidden="1">
      <c r="A214" s="979"/>
      <c r="E214" s="968"/>
      <c r="F214" s="968"/>
      <c r="H214" s="1203">
        <f>H213-H199-H203-H206</f>
        <v>-397.28000000000048</v>
      </c>
      <c r="I214" s="1204"/>
      <c r="J214" s="1205"/>
      <c r="V214" s="968"/>
    </row>
    <row r="215" spans="1:22" hidden="1">
      <c r="E215" s="968"/>
      <c r="F215" s="968"/>
      <c r="V215" s="968"/>
    </row>
    <row r="216" spans="1:22" hidden="1">
      <c r="A216" s="979"/>
      <c r="B216" s="979"/>
      <c r="E216" s="968"/>
      <c r="F216" s="968"/>
      <c r="V216" s="968"/>
    </row>
    <row r="217" spans="1:22" hidden="1">
      <c r="E217" s="968"/>
      <c r="F217" s="968"/>
      <c r="V217" s="968"/>
    </row>
    <row r="218" spans="1:22" hidden="1">
      <c r="B218" s="980"/>
      <c r="E218" s="968"/>
      <c r="F218" s="968"/>
      <c r="H218" s="1206">
        <v>5121.78</v>
      </c>
      <c r="J218" s="1207"/>
      <c r="V218" s="968"/>
    </row>
    <row r="219" spans="1:22" hidden="1">
      <c r="B219" s="980"/>
      <c r="E219" s="968"/>
      <c r="F219" s="968"/>
      <c r="V219" s="968"/>
    </row>
    <row r="220" spans="1:22" hidden="1">
      <c r="E220" s="968"/>
      <c r="F220" s="968"/>
      <c r="H220" s="1206">
        <f>H218-H199-H203-H206</f>
        <v>-397.80000000000092</v>
      </c>
      <c r="J220" s="1207"/>
      <c r="V220" s="968"/>
    </row>
    <row r="221" spans="1:22" hidden="1">
      <c r="E221" s="968"/>
      <c r="F221" s="968"/>
      <c r="V221" s="968"/>
    </row>
    <row r="222" spans="1:22" hidden="1">
      <c r="E222" s="968"/>
      <c r="F222" s="968"/>
      <c r="V222" s="968"/>
    </row>
    <row r="223" spans="1:22" hidden="1">
      <c r="E223" s="968"/>
      <c r="F223" s="968"/>
      <c r="I223" s="1043" t="s">
        <v>4065</v>
      </c>
      <c r="J223" s="1207">
        <v>5347.74</v>
      </c>
      <c r="L223" s="1044"/>
      <c r="M223" s="1044"/>
      <c r="V223" s="968"/>
    </row>
    <row r="224" spans="1:22" hidden="1">
      <c r="E224" s="968"/>
      <c r="F224" s="968"/>
      <c r="J224" s="1207">
        <f>J223-K199-K203-K205-K206</f>
        <v>-490.40000000000049</v>
      </c>
      <c r="L224" s="1207"/>
      <c r="M224" s="1207"/>
      <c r="V224" s="968"/>
    </row>
    <row r="225" spans="2:22" ht="15" hidden="1">
      <c r="E225" s="968"/>
      <c r="F225" s="968"/>
      <c r="K225" s="1242">
        <v>5620.2039999999997</v>
      </c>
      <c r="L225" s="1241">
        <v>5405.174</v>
      </c>
      <c r="M225" s="1241">
        <v>5563.8639999999996</v>
      </c>
      <c r="V225" s="968"/>
    </row>
    <row r="226" spans="2:22" ht="15" hidden="1">
      <c r="E226" s="968"/>
      <c r="F226" s="968"/>
      <c r="K226" s="1243">
        <f>K208-K225</f>
        <v>530.84000000000106</v>
      </c>
      <c r="L226" s="1244">
        <f>L208-L225</f>
        <v>450.00000000000091</v>
      </c>
      <c r="M226" s="1244">
        <f>M208-M225</f>
        <v>489.99999999999818</v>
      </c>
      <c r="V226" s="968"/>
    </row>
    <row r="227" spans="2:22" ht="15" hidden="1">
      <c r="E227" s="968"/>
      <c r="F227" s="968"/>
      <c r="K227" s="1243">
        <v>490.4</v>
      </c>
      <c r="L227" s="1245">
        <v>450</v>
      </c>
      <c r="M227" s="1245">
        <v>490</v>
      </c>
      <c r="V227" s="968"/>
    </row>
    <row r="228" spans="2:22" ht="15.75" hidden="1">
      <c r="E228" s="968"/>
      <c r="F228" s="968"/>
      <c r="K228" s="1243">
        <f>K226-K227</f>
        <v>40.440000000001078</v>
      </c>
      <c r="L228" s="1246">
        <f>L226-L227</f>
        <v>9.0949470177292824E-13</v>
      </c>
      <c r="M228" s="1246">
        <f>M226-M227</f>
        <v>-1.8189894035458565E-12</v>
      </c>
      <c r="V228" s="968"/>
    </row>
    <row r="229" spans="2:22" ht="15" hidden="1">
      <c r="E229" s="968"/>
      <c r="F229" s="968"/>
      <c r="K229" s="1242"/>
      <c r="L229" s="1241"/>
      <c r="M229" s="1241"/>
      <c r="V229" s="968"/>
    </row>
    <row r="230" spans="2:22" ht="15" hidden="1">
      <c r="B230" s="980"/>
      <c r="E230" s="968"/>
      <c r="F230" s="968"/>
      <c r="J230" s="1212" t="s">
        <v>246</v>
      </c>
      <c r="K230" s="1243">
        <f>K204-K228</f>
        <v>0.15999999999892367</v>
      </c>
      <c r="L230" s="1241"/>
      <c r="V230" s="968"/>
    </row>
    <row r="231" spans="2:22" hidden="1">
      <c r="E231" s="968"/>
      <c r="F231" s="968"/>
      <c r="V231" s="968"/>
    </row>
    <row r="232" spans="2:22" hidden="1">
      <c r="E232" s="968"/>
      <c r="F232" s="968"/>
      <c r="V232" s="968"/>
    </row>
    <row r="233" spans="2:22" ht="15">
      <c r="E233" s="968"/>
      <c r="F233" s="968"/>
      <c r="M233" s="1241"/>
      <c r="V233" s="968"/>
    </row>
    <row r="234" spans="2:22">
      <c r="E234" s="968"/>
      <c r="F234" s="968"/>
      <c r="V234" s="968"/>
    </row>
    <row r="235" spans="2:22">
      <c r="E235" s="968"/>
      <c r="F235" s="968"/>
      <c r="V235" s="968"/>
    </row>
    <row r="236" spans="2:22">
      <c r="E236" s="968"/>
      <c r="F236" s="968"/>
      <c r="V236" s="968"/>
    </row>
    <row r="237" spans="2:22">
      <c r="E237" s="968"/>
      <c r="F237" s="968"/>
      <c r="V237" s="968"/>
    </row>
    <row r="238" spans="2:22">
      <c r="E238" s="968"/>
      <c r="F238" s="968"/>
      <c r="V238" s="968"/>
    </row>
    <row r="239" spans="2:22">
      <c r="E239" s="968"/>
      <c r="F239" s="968"/>
      <c r="V239" s="968"/>
    </row>
    <row r="240" spans="2:22">
      <c r="E240" s="968"/>
      <c r="F240" s="968"/>
      <c r="V240" s="968"/>
    </row>
    <row r="241" spans="5:22">
      <c r="E241" s="968"/>
      <c r="F241" s="968"/>
      <c r="V241" s="968"/>
    </row>
    <row r="242" spans="5:22">
      <c r="E242" s="968"/>
      <c r="F242" s="968"/>
      <c r="V242" s="968"/>
    </row>
    <row r="243" spans="5:22">
      <c r="E243" s="968"/>
      <c r="F243" s="968"/>
      <c r="V243" s="968"/>
    </row>
    <row r="244" spans="5:22">
      <c r="E244" s="968"/>
      <c r="F244" s="968"/>
      <c r="V244" s="968"/>
    </row>
    <row r="245" spans="5:22">
      <c r="E245" s="968"/>
      <c r="F245" s="968"/>
      <c r="V245" s="968"/>
    </row>
    <row r="246" spans="5:22">
      <c r="E246" s="968"/>
      <c r="F246" s="968"/>
      <c r="V246" s="968"/>
    </row>
    <row r="247" spans="5:22">
      <c r="E247" s="968"/>
      <c r="F247" s="968"/>
      <c r="V247" s="968"/>
    </row>
    <row r="248" spans="5:22">
      <c r="E248" s="968"/>
      <c r="F248" s="968"/>
      <c r="V248" s="968"/>
    </row>
    <row r="249" spans="5:22">
      <c r="E249" s="968"/>
      <c r="F249" s="968"/>
      <c r="V249" s="968"/>
    </row>
    <row r="250" spans="5:22">
      <c r="E250" s="968"/>
      <c r="F250" s="968"/>
      <c r="V250" s="968"/>
    </row>
    <row r="251" spans="5:22">
      <c r="E251" s="968"/>
      <c r="F251" s="968"/>
      <c r="V251" s="968"/>
    </row>
    <row r="252" spans="5:22">
      <c r="E252" s="968"/>
      <c r="F252" s="968"/>
      <c r="V252" s="968"/>
    </row>
    <row r="253" spans="5:22">
      <c r="E253" s="968"/>
      <c r="F253" s="968"/>
      <c r="V253" s="968"/>
    </row>
    <row r="254" spans="5:22">
      <c r="E254" s="968"/>
      <c r="F254" s="968"/>
      <c r="V254" s="968"/>
    </row>
    <row r="255" spans="5:22">
      <c r="E255" s="968"/>
      <c r="F255" s="968"/>
      <c r="V255" s="968"/>
    </row>
    <row r="256" spans="5:22">
      <c r="E256" s="968"/>
      <c r="F256" s="968"/>
      <c r="V256" s="968"/>
    </row>
    <row r="257" spans="5:22">
      <c r="E257" s="968"/>
      <c r="F257" s="968"/>
      <c r="V257" s="968"/>
    </row>
    <row r="258" spans="5:22">
      <c r="E258" s="968"/>
      <c r="F258" s="968"/>
      <c r="V258" s="968"/>
    </row>
    <row r="259" spans="5:22">
      <c r="E259" s="968"/>
      <c r="F259" s="968"/>
      <c r="V259" s="968"/>
    </row>
    <row r="260" spans="5:22">
      <c r="E260" s="968"/>
      <c r="F260" s="968"/>
      <c r="V260" s="968"/>
    </row>
    <row r="261" spans="5:22">
      <c r="E261" s="968"/>
      <c r="F261" s="968"/>
      <c r="V261" s="968"/>
    </row>
    <row r="262" spans="5:22">
      <c r="E262" s="968"/>
      <c r="F262" s="968"/>
      <c r="V262" s="968"/>
    </row>
    <row r="263" spans="5:22">
      <c r="E263" s="968"/>
      <c r="F263" s="968"/>
      <c r="V263" s="968"/>
    </row>
    <row r="264" spans="5:22">
      <c r="E264" s="968"/>
      <c r="F264" s="968"/>
      <c r="V264" s="968"/>
    </row>
    <row r="265" spans="5:22">
      <c r="E265" s="968"/>
      <c r="F265" s="968"/>
      <c r="V265" s="968"/>
    </row>
    <row r="266" spans="5:22">
      <c r="E266" s="968"/>
      <c r="F266" s="968"/>
      <c r="V266" s="968"/>
    </row>
    <row r="267" spans="5:22">
      <c r="E267" s="968"/>
      <c r="F267" s="968"/>
      <c r="V267" s="968"/>
    </row>
    <row r="268" spans="5:22">
      <c r="E268" s="968"/>
      <c r="F268" s="968"/>
      <c r="V268" s="968"/>
    </row>
    <row r="269" spans="5:22">
      <c r="E269" s="968"/>
      <c r="F269" s="968"/>
      <c r="V269" s="968"/>
    </row>
    <row r="270" spans="5:22">
      <c r="E270" s="968"/>
      <c r="F270" s="968"/>
      <c r="V270" s="968"/>
    </row>
    <row r="271" spans="5:22">
      <c r="E271" s="968"/>
      <c r="F271" s="968"/>
      <c r="V271" s="968"/>
    </row>
    <row r="272" spans="5:22">
      <c r="E272" s="968"/>
      <c r="F272" s="968"/>
      <c r="V272" s="968"/>
    </row>
    <row r="273" spans="5:22">
      <c r="E273" s="968"/>
      <c r="F273" s="968"/>
      <c r="V273" s="968"/>
    </row>
    <row r="274" spans="5:22">
      <c r="E274" s="968"/>
      <c r="F274" s="968"/>
      <c r="V274" s="968"/>
    </row>
    <row r="275" spans="5:22">
      <c r="E275" s="968"/>
      <c r="F275" s="968"/>
      <c r="V275" s="968"/>
    </row>
    <row r="276" spans="5:22">
      <c r="E276" s="968"/>
      <c r="F276" s="968"/>
      <c r="V276" s="968"/>
    </row>
    <row r="277" spans="5:22">
      <c r="E277" s="968"/>
      <c r="F277" s="968"/>
      <c r="V277" s="968"/>
    </row>
    <row r="278" spans="5:22">
      <c r="E278" s="968"/>
      <c r="F278" s="968"/>
      <c r="V278" s="968"/>
    </row>
    <row r="279" spans="5:22">
      <c r="E279" s="968"/>
      <c r="F279" s="968"/>
      <c r="V279" s="968"/>
    </row>
    <row r="280" spans="5:22">
      <c r="E280" s="968"/>
      <c r="F280" s="968"/>
      <c r="V280" s="968"/>
    </row>
    <row r="281" spans="5:22">
      <c r="E281" s="968"/>
      <c r="F281" s="968"/>
      <c r="V281" s="968"/>
    </row>
    <row r="282" spans="5:22">
      <c r="E282" s="968"/>
      <c r="F282" s="968"/>
      <c r="V282" s="968"/>
    </row>
    <row r="283" spans="5:22">
      <c r="E283" s="968"/>
      <c r="F283" s="968"/>
      <c r="V283" s="968"/>
    </row>
    <row r="284" spans="5:22">
      <c r="E284" s="968"/>
      <c r="F284" s="968"/>
      <c r="V284" s="968"/>
    </row>
    <row r="285" spans="5:22">
      <c r="E285" s="968"/>
      <c r="F285" s="968"/>
      <c r="V285" s="968"/>
    </row>
    <row r="286" spans="5:22">
      <c r="E286" s="968"/>
      <c r="F286" s="968"/>
      <c r="V286" s="968"/>
    </row>
    <row r="287" spans="5:22">
      <c r="E287" s="968"/>
      <c r="F287" s="968"/>
      <c r="V287" s="968"/>
    </row>
    <row r="288" spans="5:22">
      <c r="E288" s="968"/>
      <c r="F288" s="968"/>
      <c r="V288" s="968"/>
    </row>
    <row r="289" spans="5:22">
      <c r="E289" s="968"/>
      <c r="F289" s="968"/>
      <c r="V289" s="968"/>
    </row>
    <row r="290" spans="5:22">
      <c r="E290" s="968"/>
      <c r="F290" s="968"/>
      <c r="V290" s="968"/>
    </row>
    <row r="291" spans="5:22">
      <c r="E291" s="968"/>
      <c r="F291" s="968"/>
      <c r="V291" s="968"/>
    </row>
    <row r="292" spans="5:22">
      <c r="E292" s="968"/>
      <c r="F292" s="968"/>
      <c r="V292" s="968"/>
    </row>
    <row r="293" spans="5:22">
      <c r="E293" s="968"/>
      <c r="F293" s="968"/>
      <c r="V293" s="968"/>
    </row>
    <row r="294" spans="5:22">
      <c r="E294" s="968"/>
      <c r="F294" s="968"/>
      <c r="V294" s="968"/>
    </row>
    <row r="295" spans="5:22">
      <c r="E295" s="968"/>
      <c r="F295" s="968"/>
      <c r="V295" s="968"/>
    </row>
    <row r="296" spans="5:22">
      <c r="E296" s="968"/>
      <c r="F296" s="968"/>
      <c r="V296" s="968"/>
    </row>
    <row r="297" spans="5:22">
      <c r="E297" s="968"/>
      <c r="F297" s="968"/>
      <c r="V297" s="968"/>
    </row>
    <row r="298" spans="5:22">
      <c r="E298" s="968"/>
      <c r="F298" s="968"/>
      <c r="V298" s="968"/>
    </row>
    <row r="299" spans="5:22">
      <c r="E299" s="968"/>
      <c r="F299" s="968"/>
      <c r="V299" s="968"/>
    </row>
    <row r="300" spans="5:22">
      <c r="E300" s="968"/>
      <c r="F300" s="968"/>
      <c r="V300" s="968"/>
    </row>
    <row r="301" spans="5:22">
      <c r="E301" s="968"/>
      <c r="F301" s="968"/>
      <c r="V301" s="968"/>
    </row>
    <row r="302" spans="5:22">
      <c r="E302" s="968"/>
      <c r="F302" s="968"/>
      <c r="V302" s="968"/>
    </row>
    <row r="303" spans="5:22">
      <c r="E303" s="968"/>
      <c r="F303" s="968"/>
      <c r="V303" s="968"/>
    </row>
    <row r="304" spans="5:22">
      <c r="E304" s="968"/>
      <c r="F304" s="968"/>
      <c r="V304" s="968"/>
    </row>
    <row r="305" spans="5:22">
      <c r="E305" s="968"/>
      <c r="F305" s="968"/>
      <c r="V305" s="968"/>
    </row>
    <row r="306" spans="5:22">
      <c r="E306" s="968"/>
      <c r="F306" s="968"/>
      <c r="V306" s="968"/>
    </row>
    <row r="307" spans="5:22">
      <c r="E307" s="968"/>
      <c r="F307" s="968"/>
      <c r="V307" s="968"/>
    </row>
    <row r="308" spans="5:22">
      <c r="E308" s="968"/>
      <c r="F308" s="968"/>
      <c r="V308" s="968"/>
    </row>
    <row r="309" spans="5:22">
      <c r="E309" s="968"/>
      <c r="F309" s="968"/>
      <c r="V309" s="968"/>
    </row>
    <row r="310" spans="5:22">
      <c r="E310" s="968"/>
      <c r="F310" s="968"/>
      <c r="V310" s="968"/>
    </row>
    <row r="311" spans="5:22">
      <c r="E311" s="968"/>
      <c r="F311" s="968"/>
      <c r="V311" s="968"/>
    </row>
    <row r="312" spans="5:22">
      <c r="E312" s="968"/>
      <c r="F312" s="968"/>
      <c r="V312" s="968"/>
    </row>
    <row r="313" spans="5:22">
      <c r="E313" s="968"/>
      <c r="F313" s="968"/>
      <c r="V313" s="968"/>
    </row>
    <row r="314" spans="5:22">
      <c r="E314" s="968"/>
      <c r="F314" s="968"/>
      <c r="V314" s="968"/>
    </row>
    <row r="315" spans="5:22">
      <c r="E315" s="968"/>
      <c r="F315" s="968"/>
      <c r="V315" s="968"/>
    </row>
    <row r="316" spans="5:22">
      <c r="E316" s="968"/>
      <c r="F316" s="968"/>
      <c r="V316" s="968"/>
    </row>
    <row r="317" spans="5:22">
      <c r="E317" s="968"/>
      <c r="F317" s="968"/>
      <c r="V317" s="968"/>
    </row>
    <row r="318" spans="5:22">
      <c r="E318" s="968"/>
      <c r="F318" s="968"/>
      <c r="V318" s="968"/>
    </row>
    <row r="319" spans="5:22">
      <c r="E319" s="968"/>
      <c r="F319" s="968"/>
      <c r="V319" s="968"/>
    </row>
    <row r="320" spans="5:22">
      <c r="E320" s="968"/>
      <c r="F320" s="968"/>
      <c r="V320" s="968"/>
    </row>
    <row r="321" spans="5:22">
      <c r="E321" s="968"/>
      <c r="F321" s="968"/>
      <c r="V321" s="968"/>
    </row>
    <row r="322" spans="5:22">
      <c r="E322" s="968"/>
      <c r="F322" s="968"/>
      <c r="V322" s="968"/>
    </row>
    <row r="323" spans="5:22">
      <c r="E323" s="968"/>
      <c r="F323" s="968"/>
      <c r="V323" s="968"/>
    </row>
    <row r="324" spans="5:22">
      <c r="E324" s="968"/>
      <c r="F324" s="968"/>
      <c r="V324" s="968"/>
    </row>
    <row r="325" spans="5:22">
      <c r="E325" s="968"/>
      <c r="F325" s="968"/>
      <c r="V325" s="968"/>
    </row>
    <row r="326" spans="5:22">
      <c r="E326" s="968"/>
      <c r="F326" s="968"/>
      <c r="V326" s="968"/>
    </row>
    <row r="327" spans="5:22">
      <c r="E327" s="968"/>
      <c r="F327" s="968"/>
      <c r="V327" s="968"/>
    </row>
    <row r="328" spans="5:22">
      <c r="E328" s="968"/>
      <c r="F328" s="968"/>
      <c r="V328" s="968"/>
    </row>
    <row r="329" spans="5:22">
      <c r="E329" s="968"/>
      <c r="F329" s="968"/>
      <c r="V329" s="968"/>
    </row>
    <row r="330" spans="5:22">
      <c r="E330" s="968"/>
      <c r="F330" s="968"/>
      <c r="V330" s="968"/>
    </row>
    <row r="331" spans="5:22">
      <c r="E331" s="968"/>
      <c r="F331" s="968"/>
      <c r="V331" s="968"/>
    </row>
    <row r="332" spans="5:22">
      <c r="E332" s="968"/>
      <c r="F332" s="968"/>
      <c r="V332" s="968"/>
    </row>
    <row r="333" spans="5:22">
      <c r="E333" s="968"/>
      <c r="F333" s="968"/>
      <c r="V333" s="968"/>
    </row>
    <row r="334" spans="5:22">
      <c r="E334" s="968"/>
      <c r="F334" s="968"/>
      <c r="V334" s="968"/>
    </row>
    <row r="335" spans="5:22">
      <c r="E335" s="968"/>
      <c r="F335" s="968"/>
      <c r="V335" s="968"/>
    </row>
    <row r="336" spans="5:22">
      <c r="E336" s="968"/>
      <c r="F336" s="968"/>
      <c r="V336" s="968"/>
    </row>
    <row r="337" spans="5:22">
      <c r="E337" s="968"/>
      <c r="F337" s="968"/>
      <c r="V337" s="968"/>
    </row>
    <row r="338" spans="5:22">
      <c r="E338" s="968"/>
      <c r="F338" s="968"/>
      <c r="V338" s="968"/>
    </row>
    <row r="339" spans="5:22">
      <c r="E339" s="968"/>
      <c r="F339" s="968"/>
      <c r="V339" s="968"/>
    </row>
    <row r="340" spans="5:22">
      <c r="E340" s="968"/>
      <c r="F340" s="968"/>
      <c r="V340" s="968"/>
    </row>
    <row r="341" spans="5:22">
      <c r="E341" s="968"/>
      <c r="F341" s="968"/>
      <c r="V341" s="968"/>
    </row>
    <row r="342" spans="5:22">
      <c r="E342" s="968"/>
      <c r="F342" s="968"/>
      <c r="V342" s="968"/>
    </row>
    <row r="343" spans="5:22">
      <c r="E343" s="968"/>
      <c r="F343" s="968"/>
      <c r="V343" s="968"/>
    </row>
    <row r="344" spans="5:22">
      <c r="E344" s="968"/>
      <c r="F344" s="968"/>
      <c r="V344" s="968"/>
    </row>
    <row r="345" spans="5:22">
      <c r="E345" s="968"/>
      <c r="F345" s="968"/>
      <c r="V345" s="968"/>
    </row>
    <row r="346" spans="5:22">
      <c r="E346" s="968"/>
      <c r="F346" s="968"/>
      <c r="V346" s="968"/>
    </row>
    <row r="347" spans="5:22">
      <c r="E347" s="968"/>
      <c r="F347" s="968"/>
      <c r="V347" s="968"/>
    </row>
    <row r="348" spans="5:22">
      <c r="E348" s="968"/>
      <c r="F348" s="968"/>
      <c r="V348" s="968"/>
    </row>
    <row r="349" spans="5:22">
      <c r="E349" s="968"/>
      <c r="F349" s="968"/>
      <c r="V349" s="968"/>
    </row>
    <row r="350" spans="5:22">
      <c r="E350" s="968"/>
      <c r="F350" s="968"/>
      <c r="V350" s="968"/>
    </row>
    <row r="351" spans="5:22">
      <c r="E351" s="968"/>
      <c r="F351" s="968"/>
      <c r="V351" s="968"/>
    </row>
    <row r="352" spans="5:22">
      <c r="E352" s="968"/>
      <c r="F352" s="968"/>
      <c r="V352" s="968"/>
    </row>
    <row r="353" spans="5:22">
      <c r="E353" s="968"/>
      <c r="F353" s="968"/>
      <c r="V353" s="968"/>
    </row>
    <row r="354" spans="5:22">
      <c r="E354" s="968"/>
      <c r="F354" s="968"/>
      <c r="V354" s="968"/>
    </row>
    <row r="355" spans="5:22">
      <c r="E355" s="968"/>
      <c r="F355" s="968"/>
      <c r="V355" s="968"/>
    </row>
    <row r="356" spans="5:22">
      <c r="E356" s="968"/>
      <c r="F356" s="968"/>
      <c r="V356" s="968"/>
    </row>
    <row r="357" spans="5:22">
      <c r="E357" s="968"/>
      <c r="F357" s="968"/>
      <c r="V357" s="968"/>
    </row>
    <row r="358" spans="5:22">
      <c r="E358" s="968"/>
      <c r="F358" s="968"/>
      <c r="V358" s="968"/>
    </row>
    <row r="359" spans="5:22">
      <c r="E359" s="968"/>
      <c r="F359" s="968"/>
      <c r="V359" s="968"/>
    </row>
    <row r="360" spans="5:22">
      <c r="E360" s="968"/>
      <c r="F360" s="968"/>
      <c r="V360" s="968"/>
    </row>
    <row r="361" spans="5:22">
      <c r="E361" s="968"/>
      <c r="F361" s="968"/>
      <c r="V361" s="968"/>
    </row>
    <row r="362" spans="5:22">
      <c r="E362" s="968"/>
      <c r="F362" s="968"/>
      <c r="V362" s="968"/>
    </row>
    <row r="363" spans="5:22">
      <c r="E363" s="968"/>
      <c r="F363" s="968"/>
      <c r="V363" s="968"/>
    </row>
    <row r="364" spans="5:22">
      <c r="E364" s="968"/>
      <c r="F364" s="968"/>
      <c r="V364" s="968"/>
    </row>
    <row r="365" spans="5:22">
      <c r="E365" s="968"/>
      <c r="F365" s="968"/>
      <c r="V365" s="968"/>
    </row>
    <row r="366" spans="5:22">
      <c r="E366" s="968"/>
      <c r="F366" s="968"/>
      <c r="V366" s="968"/>
    </row>
    <row r="367" spans="5:22">
      <c r="E367" s="968"/>
      <c r="F367" s="968"/>
      <c r="V367" s="968"/>
    </row>
    <row r="368" spans="5:22">
      <c r="E368" s="968"/>
      <c r="F368" s="968"/>
      <c r="V368" s="968"/>
    </row>
    <row r="369" spans="5:22">
      <c r="E369" s="968"/>
      <c r="F369" s="968"/>
      <c r="V369" s="968"/>
    </row>
    <row r="370" spans="5:22">
      <c r="E370" s="968"/>
      <c r="F370" s="968"/>
      <c r="V370" s="968"/>
    </row>
    <row r="371" spans="5:22">
      <c r="E371" s="968"/>
      <c r="F371" s="968"/>
      <c r="V371" s="968"/>
    </row>
    <row r="372" spans="5:22">
      <c r="E372" s="968"/>
      <c r="F372" s="968"/>
      <c r="V372" s="968"/>
    </row>
    <row r="373" spans="5:22">
      <c r="E373" s="968"/>
      <c r="F373" s="968"/>
      <c r="V373" s="968"/>
    </row>
    <row r="374" spans="5:22">
      <c r="E374" s="968"/>
      <c r="F374" s="968"/>
      <c r="V374" s="968"/>
    </row>
    <row r="375" spans="5:22">
      <c r="E375" s="968"/>
      <c r="F375" s="968"/>
      <c r="V375" s="968"/>
    </row>
    <row r="376" spans="5:22">
      <c r="E376" s="968"/>
      <c r="F376" s="968"/>
      <c r="V376" s="968"/>
    </row>
    <row r="377" spans="5:22">
      <c r="E377" s="968"/>
      <c r="F377" s="968"/>
      <c r="V377" s="968"/>
    </row>
    <row r="378" spans="5:22">
      <c r="E378" s="968"/>
      <c r="F378" s="968"/>
      <c r="V378" s="968"/>
    </row>
    <row r="379" spans="5:22">
      <c r="E379" s="968"/>
      <c r="F379" s="968"/>
      <c r="V379" s="968"/>
    </row>
    <row r="380" spans="5:22">
      <c r="E380" s="968"/>
      <c r="F380" s="968"/>
      <c r="V380" s="968"/>
    </row>
    <row r="381" spans="5:22">
      <c r="E381" s="968"/>
      <c r="F381" s="968"/>
      <c r="V381" s="968"/>
    </row>
    <row r="382" spans="5:22">
      <c r="E382" s="968"/>
      <c r="F382" s="968"/>
      <c r="V382" s="968"/>
    </row>
    <row r="383" spans="5:22">
      <c r="E383" s="968"/>
      <c r="F383" s="968"/>
      <c r="V383" s="968"/>
    </row>
    <row r="384" spans="5:22">
      <c r="E384" s="968"/>
      <c r="F384" s="968"/>
      <c r="V384" s="968"/>
    </row>
    <row r="385" spans="5:22">
      <c r="E385" s="968"/>
      <c r="F385" s="968"/>
      <c r="V385" s="968"/>
    </row>
    <row r="386" spans="5:22">
      <c r="E386" s="968"/>
      <c r="F386" s="968"/>
      <c r="V386" s="968"/>
    </row>
    <row r="387" spans="5:22">
      <c r="E387" s="968"/>
      <c r="F387" s="968"/>
      <c r="V387" s="968"/>
    </row>
    <row r="388" spans="5:22">
      <c r="E388" s="968"/>
      <c r="F388" s="968"/>
      <c r="V388" s="968"/>
    </row>
    <row r="389" spans="5:22">
      <c r="E389" s="968"/>
      <c r="F389" s="968"/>
      <c r="V389" s="968"/>
    </row>
    <row r="390" spans="5:22">
      <c r="E390" s="968"/>
      <c r="F390" s="968"/>
      <c r="V390" s="968"/>
    </row>
    <row r="391" spans="5:22">
      <c r="E391" s="968"/>
      <c r="F391" s="968"/>
      <c r="V391" s="968"/>
    </row>
    <row r="392" spans="5:22">
      <c r="E392" s="968"/>
      <c r="F392" s="968"/>
      <c r="V392" s="968"/>
    </row>
    <row r="393" spans="5:22">
      <c r="E393" s="968"/>
      <c r="F393" s="968"/>
      <c r="V393" s="968"/>
    </row>
    <row r="394" spans="5:22">
      <c r="E394" s="968"/>
      <c r="F394" s="968"/>
      <c r="V394" s="968"/>
    </row>
    <row r="395" spans="5:22">
      <c r="E395" s="968"/>
      <c r="F395" s="968"/>
      <c r="V395" s="968"/>
    </row>
    <row r="396" spans="5:22">
      <c r="E396" s="968"/>
      <c r="F396" s="968"/>
      <c r="V396" s="968"/>
    </row>
    <row r="397" spans="5:22">
      <c r="E397" s="968"/>
      <c r="F397" s="968"/>
      <c r="V397" s="968"/>
    </row>
    <row r="398" spans="5:22">
      <c r="E398" s="968"/>
      <c r="F398" s="968"/>
      <c r="V398" s="968"/>
    </row>
    <row r="399" spans="5:22">
      <c r="E399" s="968"/>
      <c r="F399" s="968"/>
      <c r="V399" s="968"/>
    </row>
    <row r="400" spans="5:22">
      <c r="E400" s="968"/>
      <c r="F400" s="968"/>
      <c r="V400" s="968"/>
    </row>
    <row r="401" spans="5:22">
      <c r="E401" s="968"/>
      <c r="F401" s="968"/>
      <c r="V401" s="968"/>
    </row>
    <row r="402" spans="5:22">
      <c r="E402" s="968"/>
      <c r="F402" s="968"/>
      <c r="V402" s="968"/>
    </row>
    <row r="403" spans="5:22">
      <c r="E403" s="968"/>
      <c r="F403" s="968"/>
      <c r="V403" s="968"/>
    </row>
    <row r="404" spans="5:22">
      <c r="E404" s="968"/>
      <c r="F404" s="968"/>
      <c r="V404" s="968"/>
    </row>
    <row r="405" spans="5:22">
      <c r="E405" s="968"/>
      <c r="F405" s="968"/>
      <c r="V405" s="968"/>
    </row>
    <row r="406" spans="5:22">
      <c r="E406" s="968"/>
      <c r="F406" s="968"/>
      <c r="V406" s="968"/>
    </row>
    <row r="407" spans="5:22">
      <c r="E407" s="968"/>
      <c r="F407" s="968"/>
      <c r="V407" s="968"/>
    </row>
    <row r="408" spans="5:22">
      <c r="E408" s="968"/>
      <c r="F408" s="968"/>
      <c r="V408" s="968"/>
    </row>
    <row r="409" spans="5:22">
      <c r="E409" s="968"/>
      <c r="F409" s="968"/>
      <c r="V409" s="968"/>
    </row>
    <row r="410" spans="5:22">
      <c r="E410" s="968"/>
      <c r="F410" s="968"/>
      <c r="V410" s="968"/>
    </row>
    <row r="411" spans="5:22">
      <c r="E411" s="968"/>
      <c r="F411" s="968"/>
      <c r="V411" s="968"/>
    </row>
    <row r="412" spans="5:22">
      <c r="E412" s="968"/>
      <c r="F412" s="968"/>
      <c r="V412" s="968"/>
    </row>
    <row r="413" spans="5:22">
      <c r="E413" s="968"/>
      <c r="F413" s="968"/>
      <c r="V413" s="968"/>
    </row>
    <row r="414" spans="5:22">
      <c r="E414" s="968"/>
      <c r="F414" s="968"/>
      <c r="V414" s="968"/>
    </row>
    <row r="415" spans="5:22">
      <c r="E415" s="968"/>
      <c r="F415" s="968"/>
      <c r="V415" s="968"/>
    </row>
    <row r="416" spans="5:22">
      <c r="E416" s="968"/>
      <c r="F416" s="968"/>
      <c r="V416" s="968"/>
    </row>
    <row r="417" spans="5:22">
      <c r="E417" s="968"/>
      <c r="F417" s="968"/>
      <c r="V417" s="968"/>
    </row>
    <row r="418" spans="5:22">
      <c r="E418" s="968"/>
      <c r="F418" s="968"/>
      <c r="V418" s="968"/>
    </row>
    <row r="419" spans="5:22">
      <c r="E419" s="968"/>
      <c r="F419" s="968"/>
      <c r="V419" s="968"/>
    </row>
    <row r="420" spans="5:22">
      <c r="E420" s="968"/>
      <c r="F420" s="968"/>
      <c r="V420" s="968"/>
    </row>
    <row r="421" spans="5:22">
      <c r="E421" s="968"/>
      <c r="F421" s="968"/>
      <c r="V421" s="968"/>
    </row>
    <row r="422" spans="5:22">
      <c r="E422" s="968"/>
      <c r="F422" s="968"/>
      <c r="V422" s="968"/>
    </row>
    <row r="423" spans="5:22">
      <c r="E423" s="968"/>
      <c r="F423" s="968"/>
      <c r="V423" s="968"/>
    </row>
    <row r="424" spans="5:22">
      <c r="E424" s="968"/>
      <c r="F424" s="968"/>
      <c r="V424" s="968"/>
    </row>
    <row r="425" spans="5:22">
      <c r="E425" s="968"/>
      <c r="F425" s="968"/>
      <c r="V425" s="968"/>
    </row>
    <row r="426" spans="5:22">
      <c r="E426" s="968"/>
      <c r="F426" s="968"/>
      <c r="V426" s="968"/>
    </row>
    <row r="427" spans="5:22">
      <c r="E427" s="968"/>
      <c r="F427" s="968"/>
      <c r="V427" s="968"/>
    </row>
    <row r="428" spans="5:22">
      <c r="E428" s="968"/>
      <c r="F428" s="968"/>
      <c r="V428" s="968"/>
    </row>
    <row r="429" spans="5:22">
      <c r="E429" s="968"/>
      <c r="F429" s="968"/>
      <c r="V429" s="968"/>
    </row>
    <row r="430" spans="5:22">
      <c r="E430" s="968"/>
      <c r="F430" s="968"/>
      <c r="V430" s="968"/>
    </row>
    <row r="431" spans="5:22">
      <c r="E431" s="968"/>
      <c r="F431" s="968"/>
      <c r="V431" s="968"/>
    </row>
    <row r="432" spans="5:22">
      <c r="E432" s="968"/>
      <c r="F432" s="968"/>
      <c r="V432" s="968"/>
    </row>
    <row r="433" spans="5:22">
      <c r="E433" s="968"/>
      <c r="F433" s="968"/>
      <c r="V433" s="968"/>
    </row>
    <row r="434" spans="5:22">
      <c r="E434" s="968"/>
      <c r="F434" s="968"/>
      <c r="V434" s="968"/>
    </row>
    <row r="435" spans="5:22">
      <c r="E435" s="968"/>
      <c r="F435" s="968"/>
      <c r="V435" s="968"/>
    </row>
    <row r="436" spans="5:22">
      <c r="E436" s="968"/>
      <c r="F436" s="968"/>
      <c r="V436" s="968"/>
    </row>
    <row r="437" spans="5:22">
      <c r="E437" s="968"/>
      <c r="F437" s="968"/>
      <c r="V437" s="968"/>
    </row>
    <row r="438" spans="5:22">
      <c r="E438" s="968"/>
      <c r="F438" s="968"/>
      <c r="V438" s="968"/>
    </row>
    <row r="439" spans="5:22">
      <c r="E439" s="968"/>
      <c r="F439" s="968"/>
      <c r="V439" s="968"/>
    </row>
    <row r="440" spans="5:22">
      <c r="E440" s="968"/>
      <c r="F440" s="968"/>
      <c r="V440" s="968"/>
    </row>
    <row r="441" spans="5:22">
      <c r="E441" s="968"/>
      <c r="F441" s="968"/>
      <c r="V441" s="968"/>
    </row>
    <row r="442" spans="5:22">
      <c r="E442" s="968"/>
      <c r="F442" s="968"/>
      <c r="V442" s="968"/>
    </row>
    <row r="443" spans="5:22">
      <c r="E443" s="968"/>
      <c r="F443" s="968"/>
      <c r="V443" s="968"/>
    </row>
    <row r="444" spans="5:22">
      <c r="E444" s="968"/>
      <c r="F444" s="968"/>
      <c r="V444" s="968"/>
    </row>
    <row r="445" spans="5:22">
      <c r="E445" s="968"/>
      <c r="F445" s="968"/>
      <c r="V445" s="968"/>
    </row>
    <row r="446" spans="5:22">
      <c r="E446" s="968"/>
      <c r="F446" s="968"/>
      <c r="V446" s="968"/>
    </row>
    <row r="447" spans="5:22">
      <c r="E447" s="968"/>
      <c r="F447" s="968"/>
      <c r="V447" s="968"/>
    </row>
    <row r="448" spans="5:22">
      <c r="E448" s="968"/>
      <c r="F448" s="968"/>
      <c r="V448" s="968"/>
    </row>
    <row r="449" spans="5:22">
      <c r="E449" s="968"/>
      <c r="F449" s="968"/>
      <c r="V449" s="968"/>
    </row>
    <row r="450" spans="5:22">
      <c r="E450" s="968"/>
      <c r="F450" s="968"/>
      <c r="V450" s="968"/>
    </row>
    <row r="451" spans="5:22">
      <c r="E451" s="968"/>
      <c r="F451" s="968"/>
      <c r="V451" s="968"/>
    </row>
    <row r="452" spans="5:22">
      <c r="E452" s="968"/>
      <c r="F452" s="968"/>
      <c r="V452" s="968"/>
    </row>
    <row r="453" spans="5:22">
      <c r="E453" s="968"/>
      <c r="F453" s="968"/>
      <c r="V453" s="968"/>
    </row>
    <row r="454" spans="5:22">
      <c r="E454" s="968"/>
      <c r="F454" s="968"/>
      <c r="V454" s="968"/>
    </row>
    <row r="455" spans="5:22">
      <c r="E455" s="968"/>
      <c r="F455" s="968"/>
      <c r="V455" s="968"/>
    </row>
    <row r="456" spans="5:22">
      <c r="E456" s="968"/>
      <c r="F456" s="968"/>
      <c r="V456" s="968"/>
    </row>
    <row r="457" spans="5:22">
      <c r="E457" s="968"/>
      <c r="F457" s="968"/>
      <c r="V457" s="968"/>
    </row>
    <row r="458" spans="5:22">
      <c r="E458" s="968"/>
      <c r="F458" s="968"/>
      <c r="V458" s="968"/>
    </row>
    <row r="459" spans="5:22">
      <c r="E459" s="968"/>
      <c r="F459" s="968"/>
      <c r="V459" s="968"/>
    </row>
    <row r="460" spans="5:22">
      <c r="E460" s="968"/>
      <c r="F460" s="968"/>
      <c r="V460" s="968"/>
    </row>
    <row r="461" spans="5:22">
      <c r="E461" s="968"/>
      <c r="F461" s="968"/>
      <c r="V461" s="968"/>
    </row>
    <row r="462" spans="5:22">
      <c r="E462" s="968"/>
      <c r="F462" s="968"/>
      <c r="V462" s="968"/>
    </row>
    <row r="463" spans="5:22">
      <c r="E463" s="968"/>
      <c r="F463" s="968"/>
      <c r="V463" s="968"/>
    </row>
    <row r="464" spans="5:22">
      <c r="E464" s="968"/>
      <c r="F464" s="968"/>
      <c r="V464" s="968"/>
    </row>
    <row r="465" spans="5:22">
      <c r="E465" s="968"/>
      <c r="F465" s="968"/>
      <c r="V465" s="968"/>
    </row>
    <row r="466" spans="5:22">
      <c r="E466" s="968"/>
      <c r="F466" s="968"/>
      <c r="V466" s="968"/>
    </row>
    <row r="467" spans="5:22">
      <c r="E467" s="968"/>
      <c r="F467" s="968"/>
      <c r="V467" s="968"/>
    </row>
    <row r="468" spans="5:22">
      <c r="E468" s="968"/>
      <c r="F468" s="968"/>
      <c r="V468" s="968"/>
    </row>
    <row r="469" spans="5:22">
      <c r="E469" s="968"/>
      <c r="F469" s="968"/>
      <c r="V469" s="968"/>
    </row>
    <row r="470" spans="5:22">
      <c r="E470" s="968"/>
      <c r="F470" s="968"/>
      <c r="V470" s="968"/>
    </row>
    <row r="471" spans="5:22">
      <c r="E471" s="968"/>
      <c r="F471" s="968"/>
      <c r="V471" s="968"/>
    </row>
    <row r="472" spans="5:22">
      <c r="E472" s="968"/>
      <c r="F472" s="968"/>
      <c r="V472" s="968"/>
    </row>
    <row r="473" spans="5:22">
      <c r="E473" s="968"/>
      <c r="F473" s="968"/>
      <c r="V473" s="968"/>
    </row>
    <row r="474" spans="5:22">
      <c r="E474" s="968"/>
      <c r="F474" s="968"/>
      <c r="V474" s="968"/>
    </row>
    <row r="475" spans="5:22">
      <c r="E475" s="968"/>
      <c r="F475" s="968"/>
      <c r="V475" s="968"/>
    </row>
    <row r="476" spans="5:22">
      <c r="E476" s="968"/>
      <c r="F476" s="968"/>
      <c r="V476" s="968"/>
    </row>
    <row r="477" spans="5:22">
      <c r="E477" s="968"/>
      <c r="F477" s="968"/>
      <c r="V477" s="968"/>
    </row>
    <row r="478" spans="5:22">
      <c r="E478" s="968"/>
      <c r="F478" s="968"/>
      <c r="V478" s="968"/>
    </row>
    <row r="479" spans="5:22">
      <c r="E479" s="968"/>
      <c r="F479" s="968"/>
      <c r="V479" s="968"/>
    </row>
    <row r="480" spans="5:22">
      <c r="E480" s="968"/>
      <c r="F480" s="968"/>
      <c r="V480" s="968"/>
    </row>
    <row r="481" spans="5:22">
      <c r="E481" s="968"/>
      <c r="F481" s="968"/>
      <c r="V481" s="968"/>
    </row>
    <row r="482" spans="5:22">
      <c r="E482" s="968"/>
      <c r="F482" s="968"/>
      <c r="V482" s="968"/>
    </row>
    <row r="483" spans="5:22">
      <c r="E483" s="968"/>
      <c r="F483" s="968"/>
      <c r="V483" s="968"/>
    </row>
    <row r="484" spans="5:22">
      <c r="E484" s="968"/>
      <c r="F484" s="968"/>
      <c r="V484" s="968"/>
    </row>
    <row r="485" spans="5:22">
      <c r="E485" s="968"/>
      <c r="F485" s="968"/>
      <c r="V485" s="968"/>
    </row>
    <row r="486" spans="5:22">
      <c r="E486" s="968"/>
      <c r="F486" s="968"/>
      <c r="V486" s="968"/>
    </row>
    <row r="487" spans="5:22">
      <c r="E487" s="968"/>
      <c r="F487" s="968"/>
      <c r="V487" s="968"/>
    </row>
    <row r="488" spans="5:22">
      <c r="E488" s="968"/>
      <c r="F488" s="968"/>
      <c r="V488" s="968"/>
    </row>
    <row r="489" spans="5:22">
      <c r="E489" s="968"/>
      <c r="F489" s="968"/>
      <c r="V489" s="968"/>
    </row>
    <row r="490" spans="5:22">
      <c r="E490" s="968"/>
      <c r="F490" s="968"/>
      <c r="V490" s="968"/>
    </row>
    <row r="491" spans="5:22">
      <c r="E491" s="968"/>
      <c r="F491" s="968"/>
      <c r="V491" s="968"/>
    </row>
    <row r="492" spans="5:22">
      <c r="E492" s="968"/>
      <c r="F492" s="968"/>
      <c r="V492" s="968"/>
    </row>
    <row r="493" spans="5:22">
      <c r="E493" s="968"/>
      <c r="F493" s="968"/>
      <c r="V493" s="968"/>
    </row>
    <row r="494" spans="5:22">
      <c r="E494" s="968"/>
      <c r="F494" s="968"/>
      <c r="V494" s="968"/>
    </row>
    <row r="495" spans="5:22">
      <c r="E495" s="968"/>
      <c r="F495" s="968"/>
      <c r="V495" s="968"/>
    </row>
    <row r="496" spans="5:22">
      <c r="E496" s="968"/>
      <c r="F496" s="968"/>
      <c r="V496" s="968"/>
    </row>
    <row r="497" spans="5:22">
      <c r="E497" s="968"/>
      <c r="F497" s="968"/>
      <c r="V497" s="968"/>
    </row>
    <row r="498" spans="5:22">
      <c r="E498" s="968"/>
      <c r="F498" s="968"/>
      <c r="V498" s="968"/>
    </row>
    <row r="499" spans="5:22">
      <c r="E499" s="968"/>
      <c r="F499" s="968"/>
      <c r="V499" s="968"/>
    </row>
    <row r="500" spans="5:22">
      <c r="E500" s="968"/>
      <c r="F500" s="968"/>
      <c r="V500" s="968"/>
    </row>
    <row r="501" spans="5:22">
      <c r="E501" s="968"/>
      <c r="F501" s="968"/>
      <c r="V501" s="968"/>
    </row>
    <row r="502" spans="5:22">
      <c r="E502" s="968"/>
      <c r="F502" s="968"/>
      <c r="V502" s="968"/>
    </row>
    <row r="503" spans="5:22">
      <c r="E503" s="968"/>
      <c r="F503" s="968"/>
      <c r="V503" s="968"/>
    </row>
    <row r="504" spans="5:22">
      <c r="E504" s="968"/>
      <c r="F504" s="968"/>
      <c r="V504" s="968"/>
    </row>
    <row r="505" spans="5:22">
      <c r="E505" s="968"/>
      <c r="F505" s="968"/>
      <c r="V505" s="968"/>
    </row>
    <row r="506" spans="5:22">
      <c r="E506" s="968"/>
      <c r="F506" s="968"/>
      <c r="V506" s="968"/>
    </row>
    <row r="507" spans="5:22">
      <c r="E507" s="968"/>
      <c r="F507" s="968"/>
      <c r="V507" s="968"/>
    </row>
    <row r="508" spans="5:22">
      <c r="E508" s="968"/>
      <c r="F508" s="968"/>
      <c r="V508" s="968"/>
    </row>
    <row r="509" spans="5:22">
      <c r="E509" s="968"/>
      <c r="F509" s="968"/>
      <c r="V509" s="968"/>
    </row>
    <row r="510" spans="5:22">
      <c r="E510" s="968"/>
      <c r="F510" s="968"/>
      <c r="V510" s="968"/>
    </row>
    <row r="511" spans="5:22">
      <c r="E511" s="968"/>
      <c r="F511" s="968"/>
      <c r="V511" s="968"/>
    </row>
    <row r="512" spans="5:22">
      <c r="E512" s="968"/>
      <c r="F512" s="968"/>
      <c r="V512" s="968"/>
    </row>
    <row r="513" spans="5:22">
      <c r="E513" s="968"/>
      <c r="F513" s="968"/>
      <c r="V513" s="968"/>
    </row>
    <row r="514" spans="5:22">
      <c r="E514" s="968"/>
      <c r="F514" s="968"/>
      <c r="V514" s="968"/>
    </row>
    <row r="515" spans="5:22">
      <c r="E515" s="968"/>
      <c r="F515" s="968"/>
      <c r="V515" s="968"/>
    </row>
    <row r="516" spans="5:22">
      <c r="E516" s="968"/>
      <c r="F516" s="968"/>
      <c r="V516" s="968"/>
    </row>
    <row r="517" spans="5:22">
      <c r="E517" s="968"/>
      <c r="F517" s="968"/>
      <c r="V517" s="968"/>
    </row>
    <row r="518" spans="5:22">
      <c r="E518" s="968"/>
      <c r="F518" s="968"/>
      <c r="V518" s="968"/>
    </row>
    <row r="519" spans="5:22">
      <c r="E519" s="968"/>
      <c r="F519" s="968"/>
      <c r="V519" s="968"/>
    </row>
    <row r="520" spans="5:22">
      <c r="E520" s="968"/>
      <c r="F520" s="968"/>
      <c r="V520" s="968"/>
    </row>
    <row r="521" spans="5:22">
      <c r="E521" s="968"/>
      <c r="F521" s="968"/>
      <c r="V521" s="968"/>
    </row>
    <row r="522" spans="5:22">
      <c r="E522" s="968"/>
      <c r="F522" s="968"/>
      <c r="V522" s="968"/>
    </row>
    <row r="523" spans="5:22">
      <c r="E523" s="968"/>
      <c r="F523" s="968"/>
      <c r="V523" s="968"/>
    </row>
    <row r="524" spans="5:22">
      <c r="E524" s="968"/>
      <c r="F524" s="968"/>
      <c r="V524" s="968"/>
    </row>
    <row r="525" spans="5:22">
      <c r="E525" s="968"/>
      <c r="F525" s="968"/>
      <c r="V525" s="968"/>
    </row>
    <row r="526" spans="5:22">
      <c r="E526" s="968"/>
      <c r="F526" s="968"/>
      <c r="V526" s="968"/>
    </row>
    <row r="527" spans="5:22">
      <c r="E527" s="968"/>
      <c r="F527" s="968"/>
      <c r="V527" s="968"/>
    </row>
    <row r="528" spans="5:22">
      <c r="E528" s="968"/>
      <c r="F528" s="968"/>
      <c r="V528" s="968"/>
    </row>
    <row r="529" spans="5:22">
      <c r="E529" s="968"/>
      <c r="F529" s="968"/>
      <c r="V529" s="968"/>
    </row>
    <row r="530" spans="5:22">
      <c r="E530" s="968"/>
      <c r="F530" s="968"/>
      <c r="V530" s="968"/>
    </row>
    <row r="531" spans="5:22">
      <c r="E531" s="968"/>
      <c r="F531" s="968"/>
      <c r="V531" s="968"/>
    </row>
    <row r="532" spans="5:22">
      <c r="E532" s="968"/>
      <c r="F532" s="968"/>
      <c r="V532" s="968"/>
    </row>
    <row r="533" spans="5:22">
      <c r="E533" s="968"/>
      <c r="F533" s="968"/>
      <c r="V533" s="968"/>
    </row>
    <row r="534" spans="5:22">
      <c r="E534" s="968"/>
      <c r="F534" s="968"/>
      <c r="V534" s="968"/>
    </row>
    <row r="535" spans="5:22">
      <c r="E535" s="968"/>
      <c r="F535" s="968"/>
      <c r="V535" s="968"/>
    </row>
    <row r="536" spans="5:22">
      <c r="E536" s="968"/>
      <c r="F536" s="968"/>
      <c r="V536" s="968"/>
    </row>
    <row r="537" spans="5:22">
      <c r="E537" s="968"/>
      <c r="F537" s="968"/>
      <c r="V537" s="968"/>
    </row>
    <row r="538" spans="5:22">
      <c r="E538" s="968"/>
      <c r="F538" s="968"/>
      <c r="V538" s="968"/>
    </row>
    <row r="539" spans="5:22">
      <c r="E539" s="968"/>
      <c r="F539" s="968"/>
      <c r="V539" s="968"/>
    </row>
    <row r="540" spans="5:22">
      <c r="E540" s="968"/>
      <c r="F540" s="968"/>
      <c r="V540" s="968"/>
    </row>
    <row r="541" spans="5:22">
      <c r="E541" s="968"/>
      <c r="F541" s="968"/>
      <c r="V541" s="968"/>
    </row>
    <row r="542" spans="5:22">
      <c r="E542" s="968"/>
      <c r="F542" s="968"/>
      <c r="V542" s="968"/>
    </row>
    <row r="543" spans="5:22">
      <c r="E543" s="968"/>
      <c r="F543" s="968"/>
      <c r="V543" s="968"/>
    </row>
    <row r="544" spans="5:22">
      <c r="E544" s="968"/>
      <c r="F544" s="968"/>
      <c r="V544" s="968"/>
    </row>
    <row r="545" spans="5:22">
      <c r="E545" s="968"/>
      <c r="F545" s="968"/>
      <c r="V545" s="968"/>
    </row>
    <row r="546" spans="5:22">
      <c r="E546" s="968"/>
      <c r="F546" s="968"/>
      <c r="V546" s="968"/>
    </row>
    <row r="547" spans="5:22">
      <c r="E547" s="968"/>
      <c r="F547" s="968"/>
      <c r="V547" s="968"/>
    </row>
    <row r="548" spans="5:22">
      <c r="E548" s="968"/>
      <c r="F548" s="968"/>
      <c r="V548" s="968"/>
    </row>
    <row r="549" spans="5:22">
      <c r="E549" s="968"/>
      <c r="F549" s="968"/>
      <c r="V549" s="968"/>
    </row>
    <row r="550" spans="5:22">
      <c r="E550" s="968"/>
      <c r="F550" s="968"/>
      <c r="V550" s="968"/>
    </row>
    <row r="551" spans="5:22">
      <c r="E551" s="968"/>
      <c r="F551" s="968"/>
      <c r="V551" s="968"/>
    </row>
    <row r="552" spans="5:22">
      <c r="E552" s="968"/>
      <c r="F552" s="968"/>
      <c r="V552" s="968"/>
    </row>
    <row r="553" spans="5:22">
      <c r="E553" s="968"/>
      <c r="F553" s="968"/>
      <c r="V553" s="968"/>
    </row>
    <row r="554" spans="5:22">
      <c r="E554" s="968"/>
      <c r="F554" s="968"/>
      <c r="V554" s="968"/>
    </row>
    <row r="555" spans="5:22">
      <c r="E555" s="968"/>
      <c r="F555" s="968"/>
      <c r="V555" s="968"/>
    </row>
    <row r="556" spans="5:22">
      <c r="E556" s="968"/>
      <c r="F556" s="968"/>
      <c r="V556" s="968"/>
    </row>
    <row r="557" spans="5:22">
      <c r="E557" s="968"/>
      <c r="F557" s="968"/>
      <c r="V557" s="968"/>
    </row>
    <row r="558" spans="5:22">
      <c r="E558" s="968"/>
      <c r="F558" s="968"/>
      <c r="V558" s="968"/>
    </row>
    <row r="559" spans="5:22">
      <c r="E559" s="968"/>
      <c r="F559" s="968"/>
      <c r="V559" s="968"/>
    </row>
    <row r="560" spans="5:22">
      <c r="E560" s="968"/>
      <c r="F560" s="968"/>
      <c r="V560" s="968"/>
    </row>
    <row r="561" spans="5:22">
      <c r="E561" s="968"/>
      <c r="F561" s="968"/>
      <c r="V561" s="968"/>
    </row>
    <row r="562" spans="5:22">
      <c r="E562" s="968"/>
      <c r="F562" s="968"/>
      <c r="V562" s="968"/>
    </row>
    <row r="563" spans="5:22">
      <c r="E563" s="968"/>
      <c r="F563" s="968"/>
      <c r="V563" s="968"/>
    </row>
    <row r="564" spans="5:22">
      <c r="E564" s="968"/>
      <c r="F564" s="968"/>
      <c r="V564" s="968"/>
    </row>
    <row r="565" spans="5:22">
      <c r="E565" s="968"/>
      <c r="F565" s="968"/>
      <c r="V565" s="968"/>
    </row>
    <row r="566" spans="5:22">
      <c r="E566" s="968"/>
      <c r="F566" s="968"/>
      <c r="V566" s="968"/>
    </row>
    <row r="567" spans="5:22">
      <c r="E567" s="968"/>
      <c r="F567" s="968"/>
      <c r="V567" s="968"/>
    </row>
    <row r="568" spans="5:22">
      <c r="E568" s="968"/>
      <c r="F568" s="968"/>
      <c r="V568" s="968"/>
    </row>
    <row r="569" spans="5:22">
      <c r="E569" s="968"/>
      <c r="F569" s="968"/>
      <c r="V569" s="968"/>
    </row>
    <row r="570" spans="5:22">
      <c r="E570" s="968"/>
      <c r="F570" s="968"/>
      <c r="V570" s="968"/>
    </row>
    <row r="571" spans="5:22">
      <c r="E571" s="968"/>
      <c r="F571" s="968"/>
      <c r="V571" s="968"/>
    </row>
    <row r="572" spans="5:22">
      <c r="E572" s="968"/>
      <c r="F572" s="968"/>
      <c r="V572" s="968"/>
    </row>
    <row r="573" spans="5:22">
      <c r="E573" s="968"/>
      <c r="F573" s="968"/>
      <c r="V573" s="968"/>
    </row>
    <row r="574" spans="5:22">
      <c r="E574" s="968"/>
      <c r="F574" s="968"/>
      <c r="V574" s="968"/>
    </row>
    <row r="575" spans="5:22">
      <c r="E575" s="968"/>
      <c r="F575" s="968"/>
      <c r="V575" s="968"/>
    </row>
    <row r="576" spans="5:22">
      <c r="E576" s="968"/>
      <c r="F576" s="968"/>
      <c r="V576" s="968"/>
    </row>
    <row r="577" spans="5:22">
      <c r="E577" s="968"/>
      <c r="F577" s="968"/>
      <c r="V577" s="968"/>
    </row>
    <row r="578" spans="5:22">
      <c r="E578" s="968"/>
      <c r="F578" s="968"/>
      <c r="V578" s="968"/>
    </row>
    <row r="579" spans="5:22">
      <c r="E579" s="968"/>
      <c r="F579" s="968"/>
      <c r="V579" s="968"/>
    </row>
    <row r="580" spans="5:22">
      <c r="E580" s="968"/>
      <c r="F580" s="968"/>
      <c r="V580" s="968"/>
    </row>
    <row r="581" spans="5:22">
      <c r="E581" s="968"/>
      <c r="F581" s="968"/>
      <c r="V581" s="968"/>
    </row>
    <row r="582" spans="5:22">
      <c r="E582" s="968"/>
      <c r="F582" s="968"/>
      <c r="V582" s="968"/>
    </row>
    <row r="583" spans="5:22">
      <c r="E583" s="968"/>
      <c r="F583" s="968"/>
      <c r="V583" s="968"/>
    </row>
    <row r="584" spans="5:22">
      <c r="E584" s="968"/>
      <c r="F584" s="968"/>
      <c r="V584" s="968"/>
    </row>
    <row r="585" spans="5:22">
      <c r="E585" s="968"/>
      <c r="F585" s="968"/>
      <c r="V585" s="968"/>
    </row>
    <row r="586" spans="5:22">
      <c r="E586" s="968"/>
      <c r="F586" s="968"/>
      <c r="V586" s="968"/>
    </row>
    <row r="587" spans="5:22">
      <c r="E587" s="968"/>
      <c r="F587" s="968"/>
      <c r="V587" s="968"/>
    </row>
    <row r="588" spans="5:22">
      <c r="E588" s="968"/>
      <c r="F588" s="968"/>
      <c r="V588" s="968"/>
    </row>
    <row r="589" spans="5:22">
      <c r="E589" s="968"/>
      <c r="F589" s="968"/>
      <c r="V589" s="968"/>
    </row>
    <row r="590" spans="5:22">
      <c r="E590" s="968"/>
      <c r="F590" s="968"/>
      <c r="V590" s="968"/>
    </row>
    <row r="591" spans="5:22">
      <c r="E591" s="968"/>
      <c r="F591" s="968"/>
      <c r="V591" s="968"/>
    </row>
    <row r="592" spans="5:22">
      <c r="E592" s="968"/>
      <c r="F592" s="968"/>
      <c r="V592" s="968"/>
    </row>
    <row r="593" spans="5:22">
      <c r="E593" s="968"/>
      <c r="F593" s="968"/>
      <c r="V593" s="968"/>
    </row>
    <row r="594" spans="5:22">
      <c r="E594" s="968"/>
      <c r="F594" s="968"/>
      <c r="V594" s="968"/>
    </row>
    <row r="595" spans="5:22">
      <c r="E595" s="968"/>
      <c r="F595" s="968"/>
      <c r="V595" s="968"/>
    </row>
    <row r="596" spans="5:22">
      <c r="E596" s="968"/>
      <c r="F596" s="968"/>
      <c r="V596" s="968"/>
    </row>
    <row r="597" spans="5:22">
      <c r="E597" s="968"/>
      <c r="F597" s="968"/>
      <c r="V597" s="968"/>
    </row>
    <row r="598" spans="5:22">
      <c r="E598" s="968"/>
      <c r="F598" s="968"/>
      <c r="V598" s="968"/>
    </row>
    <row r="599" spans="5:22">
      <c r="E599" s="968"/>
      <c r="F599" s="968"/>
      <c r="V599" s="968"/>
    </row>
    <row r="600" spans="5:22">
      <c r="E600" s="968"/>
      <c r="F600" s="968"/>
      <c r="V600" s="968"/>
    </row>
    <row r="601" spans="5:22">
      <c r="E601" s="968"/>
      <c r="F601" s="968"/>
      <c r="V601" s="968"/>
    </row>
    <row r="602" spans="5:22">
      <c r="E602" s="968"/>
      <c r="F602" s="968"/>
      <c r="V602" s="968"/>
    </row>
    <row r="603" spans="5:22">
      <c r="E603" s="968"/>
      <c r="F603" s="968"/>
      <c r="V603" s="968"/>
    </row>
    <row r="604" spans="5:22">
      <c r="E604" s="968"/>
      <c r="F604" s="968"/>
      <c r="V604" s="968"/>
    </row>
    <row r="605" spans="5:22">
      <c r="E605" s="968"/>
      <c r="F605" s="968"/>
      <c r="V605" s="968"/>
    </row>
    <row r="606" spans="5:22">
      <c r="E606" s="968"/>
      <c r="F606" s="968"/>
      <c r="V606" s="968"/>
    </row>
    <row r="607" spans="5:22">
      <c r="E607" s="968"/>
      <c r="F607" s="968"/>
      <c r="V607" s="968"/>
    </row>
    <row r="608" spans="5:22">
      <c r="E608" s="968"/>
      <c r="F608" s="968"/>
      <c r="V608" s="968"/>
    </row>
    <row r="609" spans="5:22">
      <c r="E609" s="968"/>
      <c r="F609" s="968"/>
      <c r="V609" s="968"/>
    </row>
    <row r="610" spans="5:22">
      <c r="E610" s="968"/>
      <c r="F610" s="968"/>
      <c r="V610" s="968"/>
    </row>
    <row r="611" spans="5:22">
      <c r="E611" s="968"/>
      <c r="F611" s="968"/>
      <c r="V611" s="968"/>
    </row>
    <row r="612" spans="5:22">
      <c r="E612" s="968"/>
      <c r="F612" s="968"/>
      <c r="V612" s="968"/>
    </row>
    <row r="613" spans="5:22">
      <c r="E613" s="968"/>
      <c r="F613" s="968"/>
      <c r="V613" s="968"/>
    </row>
    <row r="614" spans="5:22">
      <c r="E614" s="968"/>
      <c r="F614" s="968"/>
      <c r="V614" s="968"/>
    </row>
    <row r="615" spans="5:22">
      <c r="E615" s="968"/>
      <c r="F615" s="968"/>
      <c r="V615" s="968"/>
    </row>
    <row r="616" spans="5:22">
      <c r="E616" s="968"/>
      <c r="F616" s="968"/>
      <c r="V616" s="968"/>
    </row>
    <row r="617" spans="5:22">
      <c r="E617" s="968"/>
      <c r="F617" s="968"/>
      <c r="V617" s="968"/>
    </row>
    <row r="618" spans="5:22">
      <c r="E618" s="968"/>
      <c r="F618" s="968"/>
      <c r="V618" s="968"/>
    </row>
    <row r="619" spans="5:22">
      <c r="E619" s="968"/>
      <c r="F619" s="968"/>
      <c r="V619" s="968"/>
    </row>
    <row r="620" spans="5:22">
      <c r="E620" s="968"/>
      <c r="F620" s="968"/>
      <c r="V620" s="968"/>
    </row>
    <row r="621" spans="5:22">
      <c r="E621" s="968"/>
      <c r="F621" s="968"/>
      <c r="V621" s="968"/>
    </row>
    <row r="622" spans="5:22">
      <c r="E622" s="968"/>
      <c r="F622" s="968"/>
      <c r="V622" s="968"/>
    </row>
    <row r="623" spans="5:22">
      <c r="E623" s="968"/>
      <c r="F623" s="968"/>
      <c r="V623" s="968"/>
    </row>
    <row r="624" spans="5:22">
      <c r="E624" s="968"/>
      <c r="F624" s="968"/>
      <c r="V624" s="968"/>
    </row>
    <row r="625" spans="5:22">
      <c r="E625" s="968"/>
      <c r="F625" s="968"/>
      <c r="V625" s="968"/>
    </row>
    <row r="626" spans="5:22">
      <c r="E626" s="968"/>
      <c r="F626" s="968"/>
      <c r="V626" s="968"/>
    </row>
    <row r="627" spans="5:22">
      <c r="E627" s="968"/>
      <c r="F627" s="968"/>
      <c r="V627" s="968"/>
    </row>
    <row r="628" spans="5:22">
      <c r="E628" s="968"/>
      <c r="F628" s="968"/>
      <c r="V628" s="968"/>
    </row>
    <row r="629" spans="5:22">
      <c r="E629" s="968"/>
      <c r="F629" s="968"/>
      <c r="V629" s="968"/>
    </row>
    <row r="630" spans="5:22">
      <c r="E630" s="968"/>
      <c r="F630" s="968"/>
      <c r="V630" s="968"/>
    </row>
    <row r="631" spans="5:22">
      <c r="E631" s="968"/>
      <c r="F631" s="968"/>
      <c r="V631" s="968"/>
    </row>
    <row r="632" spans="5:22">
      <c r="E632" s="968"/>
      <c r="F632" s="968"/>
      <c r="V632" s="968"/>
    </row>
    <row r="633" spans="5:22">
      <c r="E633" s="968"/>
      <c r="F633" s="968"/>
      <c r="V633" s="968"/>
    </row>
    <row r="634" spans="5:22">
      <c r="E634" s="968"/>
      <c r="F634" s="968"/>
      <c r="V634" s="968"/>
    </row>
    <row r="635" spans="5:22">
      <c r="E635" s="968"/>
      <c r="F635" s="968"/>
      <c r="V635" s="968"/>
    </row>
    <row r="636" spans="5:22">
      <c r="E636" s="968"/>
      <c r="F636" s="968"/>
      <c r="V636" s="968"/>
    </row>
    <row r="637" spans="5:22">
      <c r="E637" s="968"/>
      <c r="F637" s="968"/>
      <c r="V637" s="968"/>
    </row>
    <row r="638" spans="5:22">
      <c r="E638" s="968"/>
      <c r="F638" s="968"/>
      <c r="V638" s="968"/>
    </row>
    <row r="639" spans="5:22">
      <c r="E639" s="968"/>
      <c r="F639" s="968"/>
      <c r="V639" s="968"/>
    </row>
    <row r="640" spans="5:22">
      <c r="E640" s="968"/>
      <c r="F640" s="968"/>
      <c r="V640" s="968"/>
    </row>
    <row r="641" spans="5:22">
      <c r="E641" s="968"/>
      <c r="F641" s="968"/>
      <c r="V641" s="968"/>
    </row>
    <row r="642" spans="5:22">
      <c r="E642" s="968"/>
      <c r="F642" s="968"/>
      <c r="V642" s="968"/>
    </row>
    <row r="643" spans="5:22">
      <c r="E643" s="968"/>
      <c r="F643" s="968"/>
      <c r="V643" s="968"/>
    </row>
    <row r="644" spans="5:22">
      <c r="E644" s="968"/>
      <c r="F644" s="968"/>
      <c r="V644" s="968"/>
    </row>
    <row r="645" spans="5:22">
      <c r="E645" s="968"/>
      <c r="F645" s="968"/>
      <c r="V645" s="968"/>
    </row>
    <row r="646" spans="5:22">
      <c r="E646" s="968"/>
      <c r="F646" s="968"/>
      <c r="V646" s="968"/>
    </row>
    <row r="647" spans="5:22">
      <c r="E647" s="968"/>
      <c r="F647" s="968"/>
      <c r="V647" s="968"/>
    </row>
    <row r="648" spans="5:22">
      <c r="E648" s="968"/>
      <c r="F648" s="968"/>
      <c r="V648" s="968"/>
    </row>
    <row r="649" spans="5:22">
      <c r="E649" s="968"/>
      <c r="F649" s="968"/>
      <c r="V649" s="968"/>
    </row>
    <row r="650" spans="5:22">
      <c r="E650" s="968"/>
      <c r="F650" s="968"/>
      <c r="V650" s="968"/>
    </row>
    <row r="651" spans="5:22">
      <c r="E651" s="968"/>
      <c r="F651" s="968"/>
      <c r="V651" s="968"/>
    </row>
    <row r="652" spans="5:22">
      <c r="E652" s="968"/>
      <c r="F652" s="968"/>
      <c r="V652" s="968"/>
    </row>
    <row r="653" spans="5:22">
      <c r="E653" s="968"/>
      <c r="F653" s="968"/>
      <c r="V653" s="968"/>
    </row>
    <row r="654" spans="5:22">
      <c r="E654" s="968"/>
      <c r="F654" s="968"/>
      <c r="V654" s="968"/>
    </row>
    <row r="655" spans="5:22">
      <c r="E655" s="968"/>
      <c r="F655" s="968"/>
      <c r="V655" s="968"/>
    </row>
    <row r="656" spans="5:22">
      <c r="E656" s="968"/>
      <c r="F656" s="968"/>
      <c r="V656" s="968"/>
    </row>
    <row r="657" spans="5:22">
      <c r="E657" s="968"/>
      <c r="F657" s="968"/>
      <c r="V657" s="968"/>
    </row>
    <row r="658" spans="5:22">
      <c r="E658" s="968"/>
      <c r="F658" s="968"/>
      <c r="V658" s="968"/>
    </row>
    <row r="659" spans="5:22">
      <c r="E659" s="968"/>
      <c r="F659" s="968"/>
      <c r="V659" s="968"/>
    </row>
    <row r="660" spans="5:22">
      <c r="E660" s="968"/>
      <c r="F660" s="968"/>
      <c r="V660" s="968"/>
    </row>
    <row r="661" spans="5:22">
      <c r="E661" s="968"/>
      <c r="F661" s="968"/>
      <c r="V661" s="968"/>
    </row>
    <row r="662" spans="5:22">
      <c r="E662" s="968"/>
      <c r="F662" s="968"/>
      <c r="V662" s="968"/>
    </row>
    <row r="663" spans="5:22">
      <c r="E663" s="968"/>
      <c r="F663" s="968"/>
      <c r="V663" s="968"/>
    </row>
    <row r="664" spans="5:22">
      <c r="E664" s="968"/>
      <c r="F664" s="968"/>
      <c r="V664" s="968"/>
    </row>
    <row r="665" spans="5:22">
      <c r="E665" s="968"/>
      <c r="F665" s="968"/>
      <c r="V665" s="968"/>
    </row>
    <row r="666" spans="5:22">
      <c r="E666" s="968"/>
      <c r="F666" s="968"/>
      <c r="V666" s="968"/>
    </row>
    <row r="667" spans="5:22">
      <c r="E667" s="968"/>
      <c r="F667" s="968"/>
      <c r="V667" s="968"/>
    </row>
    <row r="668" spans="5:22">
      <c r="E668" s="968"/>
      <c r="F668" s="968"/>
      <c r="V668" s="968"/>
    </row>
    <row r="669" spans="5:22">
      <c r="E669" s="968"/>
      <c r="F669" s="968"/>
      <c r="V669" s="968"/>
    </row>
    <row r="670" spans="5:22">
      <c r="E670" s="968"/>
      <c r="F670" s="968"/>
      <c r="V670" s="968"/>
    </row>
    <row r="671" spans="5:22">
      <c r="E671" s="968"/>
      <c r="F671" s="968"/>
      <c r="V671" s="968"/>
    </row>
    <row r="672" spans="5:22">
      <c r="E672" s="968"/>
      <c r="F672" s="968"/>
      <c r="V672" s="968"/>
    </row>
    <row r="673" spans="5:22">
      <c r="E673" s="968"/>
      <c r="F673" s="968"/>
      <c r="V673" s="968"/>
    </row>
    <row r="674" spans="5:22">
      <c r="E674" s="968"/>
      <c r="F674" s="968"/>
      <c r="V674" s="968"/>
    </row>
    <row r="675" spans="5:22">
      <c r="E675" s="968"/>
      <c r="F675" s="968"/>
      <c r="V675" s="968"/>
    </row>
    <row r="676" spans="5:22">
      <c r="E676" s="968"/>
      <c r="F676" s="968"/>
      <c r="V676" s="968"/>
    </row>
    <row r="677" spans="5:22">
      <c r="E677" s="968"/>
      <c r="F677" s="968"/>
      <c r="V677" s="968"/>
    </row>
    <row r="678" spans="5:22">
      <c r="E678" s="968"/>
      <c r="F678" s="968"/>
      <c r="V678" s="968"/>
    </row>
    <row r="679" spans="5:22">
      <c r="E679" s="968"/>
      <c r="F679" s="968"/>
      <c r="V679" s="968"/>
    </row>
    <row r="680" spans="5:22">
      <c r="E680" s="968"/>
      <c r="F680" s="968"/>
      <c r="V680" s="968"/>
    </row>
    <row r="681" spans="5:22">
      <c r="E681" s="968"/>
      <c r="F681" s="968"/>
      <c r="V681" s="968"/>
    </row>
    <row r="682" spans="5:22">
      <c r="E682" s="968"/>
      <c r="F682" s="968"/>
      <c r="V682" s="968"/>
    </row>
    <row r="683" spans="5:22">
      <c r="E683" s="968"/>
      <c r="F683" s="968"/>
      <c r="V683" s="968"/>
    </row>
    <row r="684" spans="5:22">
      <c r="E684" s="968"/>
      <c r="F684" s="968"/>
      <c r="V684" s="968"/>
    </row>
    <row r="685" spans="5:22">
      <c r="E685" s="968"/>
      <c r="F685" s="968"/>
      <c r="V685" s="968"/>
    </row>
    <row r="686" spans="5:22">
      <c r="E686" s="968"/>
      <c r="F686" s="968"/>
      <c r="V686" s="968"/>
    </row>
    <row r="687" spans="5:22">
      <c r="E687" s="968"/>
      <c r="F687" s="968"/>
      <c r="V687" s="968"/>
    </row>
    <row r="688" spans="5:22">
      <c r="E688" s="968"/>
      <c r="F688" s="968"/>
      <c r="V688" s="968"/>
    </row>
    <row r="689" spans="5:22">
      <c r="E689" s="968"/>
      <c r="F689" s="968"/>
      <c r="V689" s="968"/>
    </row>
    <row r="690" spans="5:22">
      <c r="E690" s="968"/>
      <c r="F690" s="968"/>
      <c r="V690" s="968"/>
    </row>
    <row r="691" spans="5:22">
      <c r="E691" s="968"/>
      <c r="F691" s="968"/>
      <c r="V691" s="968"/>
    </row>
    <row r="692" spans="5:22">
      <c r="E692" s="968"/>
      <c r="F692" s="968"/>
      <c r="V692" s="968"/>
    </row>
    <row r="693" spans="5:22">
      <c r="E693" s="968"/>
      <c r="F693" s="968"/>
      <c r="V693" s="968"/>
    </row>
    <row r="694" spans="5:22">
      <c r="E694" s="968"/>
      <c r="F694" s="968"/>
      <c r="V694" s="968"/>
    </row>
    <row r="695" spans="5:22">
      <c r="E695" s="968"/>
      <c r="F695" s="968"/>
      <c r="V695" s="968"/>
    </row>
    <row r="696" spans="5:22">
      <c r="E696" s="968"/>
      <c r="F696" s="968"/>
      <c r="V696" s="968"/>
    </row>
    <row r="697" spans="5:22">
      <c r="E697" s="968"/>
      <c r="F697" s="968"/>
      <c r="V697" s="968"/>
    </row>
    <row r="698" spans="5:22">
      <c r="E698" s="968"/>
      <c r="F698" s="968"/>
      <c r="V698" s="968"/>
    </row>
    <row r="699" spans="5:22">
      <c r="E699" s="968"/>
      <c r="F699" s="968"/>
      <c r="V699" s="968"/>
    </row>
    <row r="700" spans="5:22">
      <c r="E700" s="968"/>
      <c r="F700" s="968"/>
      <c r="V700" s="968"/>
    </row>
    <row r="701" spans="5:22">
      <c r="E701" s="968"/>
      <c r="F701" s="968"/>
      <c r="V701" s="968"/>
    </row>
    <row r="702" spans="5:22">
      <c r="E702" s="968"/>
      <c r="F702" s="968"/>
      <c r="V702" s="968"/>
    </row>
    <row r="703" spans="5:22">
      <c r="E703" s="968"/>
      <c r="F703" s="968"/>
      <c r="V703" s="968"/>
    </row>
    <row r="704" spans="5:22">
      <c r="E704" s="968"/>
      <c r="F704" s="968"/>
      <c r="V704" s="968"/>
    </row>
    <row r="705" spans="5:22">
      <c r="E705" s="968"/>
      <c r="F705" s="968"/>
      <c r="V705" s="968"/>
    </row>
    <row r="706" spans="5:22">
      <c r="E706" s="968"/>
      <c r="F706" s="968"/>
      <c r="V706" s="968"/>
    </row>
    <row r="707" spans="5:22">
      <c r="E707" s="968"/>
      <c r="F707" s="968"/>
      <c r="V707" s="968"/>
    </row>
    <row r="708" spans="5:22">
      <c r="E708" s="968"/>
      <c r="F708" s="968"/>
      <c r="V708" s="968"/>
    </row>
    <row r="709" spans="5:22">
      <c r="E709" s="968"/>
      <c r="F709" s="968"/>
      <c r="V709" s="968"/>
    </row>
    <row r="710" spans="5:22">
      <c r="E710" s="968"/>
      <c r="F710" s="968"/>
      <c r="V710" s="968"/>
    </row>
    <row r="711" spans="5:22">
      <c r="E711" s="968"/>
      <c r="F711" s="968"/>
      <c r="V711" s="968"/>
    </row>
    <row r="712" spans="5:22">
      <c r="E712" s="968"/>
      <c r="F712" s="968"/>
      <c r="V712" s="968"/>
    </row>
    <row r="713" spans="5:22">
      <c r="E713" s="968"/>
      <c r="F713" s="968"/>
      <c r="V713" s="968"/>
    </row>
    <row r="714" spans="5:22">
      <c r="E714" s="968"/>
      <c r="F714" s="968"/>
      <c r="V714" s="968"/>
    </row>
    <row r="715" spans="5:22">
      <c r="E715" s="968"/>
      <c r="F715" s="968"/>
      <c r="V715" s="968"/>
    </row>
    <row r="716" spans="5:22">
      <c r="E716" s="968"/>
      <c r="F716" s="968"/>
      <c r="V716" s="968"/>
    </row>
    <row r="717" spans="5:22">
      <c r="E717" s="968"/>
      <c r="F717" s="968"/>
      <c r="V717" s="968"/>
    </row>
    <row r="718" spans="5:22">
      <c r="E718" s="968"/>
      <c r="F718" s="968"/>
      <c r="V718" s="968"/>
    </row>
    <row r="719" spans="5:22">
      <c r="E719" s="968"/>
      <c r="F719" s="968"/>
      <c r="V719" s="968"/>
    </row>
    <row r="720" spans="5:22">
      <c r="E720" s="968"/>
      <c r="F720" s="968"/>
      <c r="V720" s="968"/>
    </row>
    <row r="721" spans="5:22">
      <c r="E721" s="968"/>
      <c r="F721" s="968"/>
      <c r="V721" s="968"/>
    </row>
    <row r="722" spans="5:22">
      <c r="E722" s="968"/>
      <c r="F722" s="968"/>
      <c r="V722" s="968"/>
    </row>
    <row r="723" spans="5:22">
      <c r="E723" s="968"/>
      <c r="F723" s="968"/>
      <c r="V723" s="968"/>
    </row>
    <row r="724" spans="5:22">
      <c r="E724" s="968"/>
      <c r="F724" s="968"/>
      <c r="V724" s="968"/>
    </row>
    <row r="725" spans="5:22">
      <c r="E725" s="968"/>
      <c r="F725" s="968"/>
      <c r="V725" s="968"/>
    </row>
    <row r="726" spans="5:22">
      <c r="E726" s="968"/>
      <c r="F726" s="968"/>
      <c r="V726" s="968"/>
    </row>
    <row r="727" spans="5:22">
      <c r="E727" s="968"/>
      <c r="F727" s="968"/>
      <c r="V727" s="968"/>
    </row>
    <row r="728" spans="5:22">
      <c r="E728" s="968"/>
      <c r="F728" s="968"/>
      <c r="V728" s="968"/>
    </row>
    <row r="729" spans="5:22">
      <c r="E729" s="968"/>
      <c r="F729" s="968"/>
      <c r="V729" s="968"/>
    </row>
    <row r="730" spans="5:22">
      <c r="E730" s="968"/>
      <c r="F730" s="968"/>
      <c r="V730" s="968"/>
    </row>
    <row r="731" spans="5:22">
      <c r="E731" s="968"/>
      <c r="F731" s="968"/>
      <c r="V731" s="968"/>
    </row>
    <row r="732" spans="5:22">
      <c r="E732" s="968"/>
      <c r="F732" s="968"/>
      <c r="V732" s="968"/>
    </row>
    <row r="733" spans="5:22">
      <c r="E733" s="968"/>
      <c r="F733" s="968"/>
      <c r="V733" s="968"/>
    </row>
    <row r="734" spans="5:22">
      <c r="E734" s="968"/>
      <c r="F734" s="968"/>
      <c r="V734" s="968"/>
    </row>
    <row r="735" spans="5:22">
      <c r="E735" s="968"/>
      <c r="F735" s="968"/>
      <c r="V735" s="968"/>
    </row>
    <row r="736" spans="5:22">
      <c r="E736" s="968"/>
      <c r="F736" s="968"/>
      <c r="V736" s="968"/>
    </row>
    <row r="737" spans="5:22">
      <c r="E737" s="968"/>
      <c r="F737" s="968"/>
      <c r="V737" s="968"/>
    </row>
    <row r="738" spans="5:22">
      <c r="E738" s="968"/>
      <c r="F738" s="968"/>
      <c r="V738" s="968"/>
    </row>
    <row r="739" spans="5:22">
      <c r="E739" s="968"/>
      <c r="F739" s="968"/>
      <c r="V739" s="968"/>
    </row>
    <row r="740" spans="5:22">
      <c r="E740" s="968"/>
      <c r="F740" s="968"/>
      <c r="V740" s="968"/>
    </row>
    <row r="741" spans="5:22">
      <c r="E741" s="968"/>
      <c r="F741" s="968"/>
      <c r="V741" s="968"/>
    </row>
    <row r="742" spans="5:22">
      <c r="E742" s="968"/>
      <c r="F742" s="968"/>
      <c r="V742" s="968"/>
    </row>
    <row r="743" spans="5:22">
      <c r="E743" s="968"/>
      <c r="F743" s="968"/>
      <c r="V743" s="968"/>
    </row>
    <row r="744" spans="5:22">
      <c r="E744" s="968"/>
      <c r="F744" s="968"/>
      <c r="V744" s="968"/>
    </row>
    <row r="745" spans="5:22">
      <c r="E745" s="968"/>
      <c r="F745" s="968"/>
      <c r="V745" s="968"/>
    </row>
    <row r="746" spans="5:22">
      <c r="E746" s="968"/>
      <c r="F746" s="968"/>
      <c r="V746" s="968"/>
    </row>
    <row r="747" spans="5:22">
      <c r="E747" s="968"/>
      <c r="F747" s="968"/>
      <c r="V747" s="968"/>
    </row>
    <row r="748" spans="5:22">
      <c r="E748" s="968"/>
      <c r="F748" s="968"/>
      <c r="V748" s="968"/>
    </row>
    <row r="749" spans="5:22">
      <c r="E749" s="968"/>
      <c r="F749" s="968"/>
      <c r="V749" s="968"/>
    </row>
    <row r="750" spans="5:22">
      <c r="E750" s="968"/>
      <c r="F750" s="968"/>
      <c r="V750" s="968"/>
    </row>
    <row r="751" spans="5:22">
      <c r="E751" s="968"/>
      <c r="F751" s="968"/>
      <c r="V751" s="968"/>
    </row>
    <row r="752" spans="5:22">
      <c r="E752" s="968"/>
      <c r="F752" s="968"/>
      <c r="V752" s="968"/>
    </row>
    <row r="753" spans="5:22">
      <c r="E753" s="968"/>
      <c r="F753" s="968"/>
      <c r="V753" s="968"/>
    </row>
    <row r="754" spans="5:22">
      <c r="E754" s="968"/>
      <c r="F754" s="968"/>
      <c r="V754" s="968"/>
    </row>
    <row r="755" spans="5:22">
      <c r="E755" s="968"/>
      <c r="F755" s="968"/>
      <c r="V755" s="968"/>
    </row>
    <row r="756" spans="5:22">
      <c r="E756" s="968"/>
      <c r="F756" s="968"/>
      <c r="V756" s="968"/>
    </row>
    <row r="757" spans="5:22">
      <c r="E757" s="968"/>
      <c r="F757" s="968"/>
      <c r="V757" s="968"/>
    </row>
    <row r="758" spans="5:22">
      <c r="E758" s="968"/>
      <c r="F758" s="968"/>
      <c r="V758" s="968"/>
    </row>
    <row r="759" spans="5:22">
      <c r="E759" s="968"/>
      <c r="F759" s="968"/>
      <c r="V759" s="968"/>
    </row>
    <row r="760" spans="5:22">
      <c r="E760" s="968"/>
      <c r="F760" s="968"/>
      <c r="V760" s="968"/>
    </row>
    <row r="761" spans="5:22">
      <c r="E761" s="968"/>
      <c r="F761" s="968"/>
      <c r="V761" s="968"/>
    </row>
    <row r="762" spans="5:22">
      <c r="E762" s="968"/>
      <c r="F762" s="968"/>
      <c r="V762" s="968"/>
    </row>
    <row r="763" spans="5:22">
      <c r="E763" s="968"/>
      <c r="F763" s="968"/>
      <c r="V763" s="968"/>
    </row>
    <row r="764" spans="5:22">
      <c r="E764" s="968"/>
      <c r="F764" s="968"/>
      <c r="V764" s="968"/>
    </row>
    <row r="765" spans="5:22">
      <c r="E765" s="968"/>
      <c r="F765" s="968"/>
      <c r="V765" s="968"/>
    </row>
    <row r="766" spans="5:22">
      <c r="E766" s="968"/>
      <c r="F766" s="968"/>
      <c r="V766" s="968"/>
    </row>
    <row r="767" spans="5:22">
      <c r="E767" s="968"/>
      <c r="F767" s="968"/>
      <c r="V767" s="968"/>
    </row>
    <row r="768" spans="5:22">
      <c r="E768" s="968"/>
      <c r="F768" s="968"/>
      <c r="V768" s="968"/>
    </row>
    <row r="769" spans="5:22">
      <c r="E769" s="968"/>
      <c r="F769" s="968"/>
      <c r="V769" s="968"/>
    </row>
    <row r="770" spans="5:22">
      <c r="E770" s="968"/>
      <c r="F770" s="968"/>
      <c r="V770" s="968"/>
    </row>
    <row r="771" spans="5:22">
      <c r="E771" s="968"/>
      <c r="F771" s="968"/>
      <c r="V771" s="968"/>
    </row>
    <row r="772" spans="5:22">
      <c r="E772" s="968"/>
      <c r="F772" s="968"/>
      <c r="V772" s="968"/>
    </row>
    <row r="773" spans="5:22">
      <c r="E773" s="968"/>
      <c r="F773" s="968"/>
      <c r="V773" s="968"/>
    </row>
    <row r="774" spans="5:22">
      <c r="E774" s="968"/>
      <c r="F774" s="968"/>
      <c r="V774" s="968"/>
    </row>
    <row r="775" spans="5:22">
      <c r="E775" s="968"/>
      <c r="F775" s="968"/>
      <c r="V775" s="968"/>
    </row>
    <row r="776" spans="5:22">
      <c r="E776" s="968"/>
      <c r="F776" s="968"/>
      <c r="V776" s="968"/>
    </row>
    <row r="777" spans="5:22">
      <c r="E777" s="968"/>
      <c r="F777" s="968"/>
      <c r="V777" s="968"/>
    </row>
    <row r="778" spans="5:22">
      <c r="E778" s="968"/>
      <c r="F778" s="968"/>
      <c r="V778" s="968"/>
    </row>
    <row r="779" spans="5:22">
      <c r="E779" s="968"/>
      <c r="F779" s="968"/>
      <c r="V779" s="968"/>
    </row>
    <row r="780" spans="5:22">
      <c r="E780" s="968"/>
      <c r="F780" s="968"/>
      <c r="V780" s="968"/>
    </row>
    <row r="781" spans="5:22">
      <c r="E781" s="968"/>
      <c r="F781" s="968"/>
      <c r="V781" s="968"/>
    </row>
    <row r="782" spans="5:22">
      <c r="E782" s="968"/>
      <c r="F782" s="968"/>
      <c r="V782" s="968"/>
    </row>
    <row r="783" spans="5:22">
      <c r="E783" s="968"/>
      <c r="F783" s="968"/>
      <c r="V783" s="968"/>
    </row>
    <row r="784" spans="5:22">
      <c r="E784" s="968"/>
      <c r="F784" s="968"/>
      <c r="V784" s="968"/>
    </row>
    <row r="785" spans="5:22">
      <c r="E785" s="968"/>
      <c r="F785" s="968"/>
      <c r="V785" s="968"/>
    </row>
    <row r="786" spans="5:22">
      <c r="E786" s="968"/>
      <c r="F786" s="968"/>
      <c r="V786" s="968"/>
    </row>
    <row r="787" spans="5:22">
      <c r="E787" s="968"/>
      <c r="F787" s="968"/>
      <c r="V787" s="968"/>
    </row>
    <row r="788" spans="5:22">
      <c r="E788" s="968"/>
      <c r="F788" s="968"/>
      <c r="V788" s="968"/>
    </row>
    <row r="789" spans="5:22">
      <c r="E789" s="968"/>
      <c r="F789" s="968"/>
      <c r="V789" s="968"/>
    </row>
    <row r="790" spans="5:22">
      <c r="E790" s="968"/>
      <c r="F790" s="968"/>
      <c r="V790" s="968"/>
    </row>
    <row r="791" spans="5:22">
      <c r="E791" s="968"/>
      <c r="F791" s="968"/>
      <c r="V791" s="968"/>
    </row>
    <row r="792" spans="5:22">
      <c r="E792" s="968"/>
      <c r="F792" s="968"/>
      <c r="V792" s="968"/>
    </row>
    <row r="793" spans="5:22">
      <c r="E793" s="968"/>
      <c r="F793" s="968"/>
      <c r="V793" s="968"/>
    </row>
    <row r="794" spans="5:22">
      <c r="E794" s="968"/>
      <c r="F794" s="968"/>
      <c r="V794" s="968"/>
    </row>
    <row r="795" spans="5:22">
      <c r="E795" s="968"/>
      <c r="F795" s="968"/>
      <c r="V795" s="968"/>
    </row>
    <row r="796" spans="5:22">
      <c r="E796" s="968"/>
      <c r="F796" s="968"/>
      <c r="V796" s="968"/>
    </row>
    <row r="797" spans="5:22">
      <c r="E797" s="968"/>
      <c r="F797" s="968"/>
      <c r="V797" s="968"/>
    </row>
    <row r="798" spans="5:22">
      <c r="E798" s="968"/>
      <c r="F798" s="968"/>
      <c r="V798" s="968"/>
    </row>
    <row r="799" spans="5:22">
      <c r="E799" s="968"/>
      <c r="F799" s="968"/>
      <c r="V799" s="968"/>
    </row>
    <row r="800" spans="5:22">
      <c r="E800" s="968"/>
      <c r="F800" s="968"/>
      <c r="V800" s="968"/>
    </row>
    <row r="801" spans="5:22">
      <c r="E801" s="968"/>
      <c r="F801" s="968"/>
      <c r="V801" s="968"/>
    </row>
    <row r="802" spans="5:22">
      <c r="E802" s="968"/>
      <c r="F802" s="968"/>
      <c r="V802" s="968"/>
    </row>
    <row r="803" spans="5:22">
      <c r="E803" s="968"/>
      <c r="F803" s="968"/>
      <c r="V803" s="968"/>
    </row>
    <row r="804" spans="5:22">
      <c r="E804" s="968"/>
      <c r="F804" s="968"/>
      <c r="V804" s="968"/>
    </row>
    <row r="805" spans="5:22">
      <c r="E805" s="968"/>
      <c r="F805" s="968"/>
      <c r="V805" s="968"/>
    </row>
    <row r="806" spans="5:22">
      <c r="E806" s="968"/>
      <c r="F806" s="968"/>
      <c r="V806" s="968"/>
    </row>
    <row r="807" spans="5:22">
      <c r="E807" s="968"/>
      <c r="F807" s="968"/>
      <c r="V807" s="968"/>
    </row>
    <row r="808" spans="5:22">
      <c r="E808" s="968"/>
      <c r="F808" s="968"/>
      <c r="V808" s="968"/>
    </row>
    <row r="809" spans="5:22">
      <c r="E809" s="968"/>
      <c r="F809" s="968"/>
      <c r="V809" s="968"/>
    </row>
    <row r="810" spans="5:22">
      <c r="E810" s="968"/>
      <c r="F810" s="968"/>
      <c r="V810" s="968"/>
    </row>
    <row r="811" spans="5:22">
      <c r="E811" s="968"/>
      <c r="F811" s="968"/>
      <c r="V811" s="968"/>
    </row>
    <row r="812" spans="5:22">
      <c r="E812" s="968"/>
      <c r="F812" s="968"/>
      <c r="V812" s="968"/>
    </row>
    <row r="813" spans="5:22">
      <c r="E813" s="968"/>
      <c r="F813" s="968"/>
      <c r="V813" s="968"/>
    </row>
    <row r="814" spans="5:22">
      <c r="E814" s="968"/>
      <c r="F814" s="968"/>
      <c r="V814" s="968"/>
    </row>
    <row r="815" spans="5:22">
      <c r="E815" s="968"/>
      <c r="F815" s="968"/>
      <c r="V815" s="968"/>
    </row>
    <row r="816" spans="5:22">
      <c r="E816" s="968"/>
      <c r="F816" s="968"/>
      <c r="V816" s="968"/>
    </row>
    <row r="817" spans="5:22">
      <c r="E817" s="968"/>
      <c r="F817" s="968"/>
      <c r="V817" s="968"/>
    </row>
    <row r="818" spans="5:22">
      <c r="E818" s="968"/>
      <c r="F818" s="968"/>
      <c r="V818" s="968"/>
    </row>
    <row r="819" spans="5:22">
      <c r="E819" s="968"/>
      <c r="F819" s="968"/>
      <c r="V819" s="968"/>
    </row>
    <row r="820" spans="5:22">
      <c r="E820" s="968"/>
      <c r="F820" s="968"/>
      <c r="V820" s="968"/>
    </row>
    <row r="821" spans="5:22">
      <c r="E821" s="968"/>
      <c r="F821" s="968"/>
      <c r="V821" s="968"/>
    </row>
    <row r="822" spans="5:22">
      <c r="E822" s="968"/>
      <c r="F822" s="968"/>
      <c r="V822" s="968"/>
    </row>
    <row r="823" spans="5:22">
      <c r="E823" s="968"/>
      <c r="F823" s="968"/>
      <c r="V823" s="968"/>
    </row>
    <row r="824" spans="5:22">
      <c r="E824" s="968"/>
      <c r="F824" s="968"/>
      <c r="V824" s="968"/>
    </row>
    <row r="825" spans="5:22">
      <c r="E825" s="968"/>
      <c r="F825" s="968"/>
      <c r="V825" s="968"/>
    </row>
    <row r="826" spans="5:22">
      <c r="E826" s="968"/>
      <c r="F826" s="968"/>
      <c r="V826" s="968"/>
    </row>
    <row r="827" spans="5:22">
      <c r="E827" s="968"/>
      <c r="F827" s="968"/>
      <c r="V827" s="968"/>
    </row>
    <row r="828" spans="5:22">
      <c r="E828" s="968"/>
      <c r="F828" s="968"/>
      <c r="V828" s="968"/>
    </row>
    <row r="829" spans="5:22">
      <c r="E829" s="968"/>
      <c r="F829" s="968"/>
      <c r="V829" s="968"/>
    </row>
    <row r="830" spans="5:22">
      <c r="E830" s="968"/>
      <c r="F830" s="968"/>
      <c r="V830" s="968"/>
    </row>
    <row r="831" spans="5:22">
      <c r="E831" s="968"/>
      <c r="F831" s="968"/>
      <c r="V831" s="968"/>
    </row>
    <row r="832" spans="5:22">
      <c r="E832" s="968"/>
      <c r="F832" s="968"/>
      <c r="V832" s="968"/>
    </row>
    <row r="833" spans="5:22">
      <c r="E833" s="968"/>
      <c r="F833" s="968"/>
      <c r="V833" s="968"/>
    </row>
    <row r="834" spans="5:22">
      <c r="E834" s="968"/>
      <c r="F834" s="968"/>
      <c r="V834" s="968"/>
    </row>
    <row r="835" spans="5:22">
      <c r="E835" s="968"/>
      <c r="F835" s="968"/>
      <c r="V835" s="968"/>
    </row>
    <row r="836" spans="5:22">
      <c r="E836" s="968"/>
      <c r="F836" s="968"/>
      <c r="V836" s="968"/>
    </row>
    <row r="837" spans="5:22">
      <c r="E837" s="968"/>
      <c r="F837" s="968"/>
      <c r="V837" s="968"/>
    </row>
    <row r="838" spans="5:22">
      <c r="E838" s="968"/>
      <c r="F838" s="968"/>
      <c r="V838" s="968"/>
    </row>
    <row r="839" spans="5:22">
      <c r="E839" s="968"/>
      <c r="F839" s="968"/>
      <c r="V839" s="968"/>
    </row>
    <row r="840" spans="5:22">
      <c r="E840" s="968"/>
      <c r="F840" s="968"/>
      <c r="V840" s="968"/>
    </row>
    <row r="841" spans="5:22">
      <c r="E841" s="968"/>
      <c r="F841" s="968"/>
      <c r="V841" s="968"/>
    </row>
    <row r="842" spans="5:22">
      <c r="E842" s="968"/>
      <c r="F842" s="968"/>
      <c r="V842" s="968"/>
    </row>
    <row r="843" spans="5:22">
      <c r="E843" s="968"/>
      <c r="F843" s="968"/>
      <c r="V843" s="968"/>
    </row>
    <row r="844" spans="5:22">
      <c r="E844" s="968"/>
      <c r="F844" s="968"/>
      <c r="V844" s="968"/>
    </row>
    <row r="845" spans="5:22">
      <c r="E845" s="968"/>
      <c r="F845" s="968"/>
      <c r="V845" s="968"/>
    </row>
    <row r="846" spans="5:22">
      <c r="E846" s="968"/>
      <c r="F846" s="968"/>
      <c r="V846" s="968"/>
    </row>
    <row r="847" spans="5:22">
      <c r="E847" s="968"/>
      <c r="F847" s="968"/>
      <c r="V847" s="968"/>
    </row>
    <row r="848" spans="5:22">
      <c r="E848" s="968"/>
      <c r="F848" s="968"/>
      <c r="V848" s="968"/>
    </row>
    <row r="849" spans="5:22">
      <c r="E849" s="968"/>
      <c r="F849" s="968"/>
      <c r="V849" s="968"/>
    </row>
    <row r="850" spans="5:22">
      <c r="E850" s="968"/>
      <c r="F850" s="968"/>
      <c r="V850" s="968"/>
    </row>
    <row r="851" spans="5:22">
      <c r="E851" s="968"/>
      <c r="F851" s="968"/>
      <c r="V851" s="968"/>
    </row>
    <row r="852" spans="5:22">
      <c r="E852" s="968"/>
      <c r="F852" s="968"/>
      <c r="V852" s="968"/>
    </row>
    <row r="853" spans="5:22">
      <c r="E853" s="968"/>
      <c r="F853" s="968"/>
      <c r="V853" s="968"/>
    </row>
    <row r="854" spans="5:22">
      <c r="E854" s="968"/>
      <c r="F854" s="968"/>
      <c r="V854" s="968"/>
    </row>
    <row r="855" spans="5:22">
      <c r="E855" s="968"/>
      <c r="F855" s="968"/>
      <c r="V855" s="968"/>
    </row>
    <row r="856" spans="5:22">
      <c r="E856" s="968"/>
      <c r="F856" s="968"/>
      <c r="V856" s="968"/>
    </row>
    <row r="857" spans="5:22">
      <c r="E857" s="968"/>
      <c r="F857" s="968"/>
      <c r="V857" s="968"/>
    </row>
    <row r="858" spans="5:22">
      <c r="E858" s="968"/>
      <c r="F858" s="968"/>
      <c r="V858" s="968"/>
    </row>
    <row r="859" spans="5:22">
      <c r="E859" s="968"/>
      <c r="F859" s="968"/>
      <c r="V859" s="968"/>
    </row>
    <row r="860" spans="5:22">
      <c r="E860" s="968"/>
      <c r="F860" s="968"/>
      <c r="V860" s="968"/>
    </row>
    <row r="861" spans="5:22">
      <c r="E861" s="968"/>
      <c r="F861" s="968"/>
      <c r="V861" s="968"/>
    </row>
    <row r="862" spans="5:22">
      <c r="E862" s="968"/>
      <c r="F862" s="968"/>
      <c r="V862" s="968"/>
    </row>
    <row r="863" spans="5:22">
      <c r="E863" s="968"/>
      <c r="F863" s="968"/>
      <c r="V863" s="968"/>
    </row>
    <row r="864" spans="5:22">
      <c r="E864" s="968"/>
      <c r="F864" s="968"/>
      <c r="V864" s="968"/>
    </row>
    <row r="865" spans="5:22">
      <c r="E865" s="968"/>
      <c r="F865" s="968"/>
      <c r="V865" s="968"/>
    </row>
    <row r="866" spans="5:22">
      <c r="E866" s="968"/>
      <c r="F866" s="968"/>
      <c r="V866" s="968"/>
    </row>
    <row r="867" spans="5:22">
      <c r="E867" s="968"/>
      <c r="F867" s="968"/>
      <c r="V867" s="968"/>
    </row>
    <row r="868" spans="5:22">
      <c r="E868" s="968"/>
      <c r="F868" s="968"/>
      <c r="V868" s="968"/>
    </row>
    <row r="869" spans="5:22">
      <c r="E869" s="968"/>
      <c r="F869" s="968"/>
      <c r="V869" s="968"/>
    </row>
    <row r="870" spans="5:22">
      <c r="E870" s="968"/>
      <c r="F870" s="968"/>
      <c r="V870" s="968"/>
    </row>
    <row r="871" spans="5:22">
      <c r="E871" s="968"/>
      <c r="F871" s="968"/>
      <c r="V871" s="968"/>
    </row>
    <row r="872" spans="5:22">
      <c r="E872" s="968"/>
      <c r="F872" s="968"/>
      <c r="V872" s="968"/>
    </row>
    <row r="873" spans="5:22">
      <c r="E873" s="968"/>
      <c r="F873" s="968"/>
      <c r="V873" s="968"/>
    </row>
    <row r="874" spans="5:22">
      <c r="E874" s="968"/>
      <c r="F874" s="968"/>
      <c r="V874" s="968"/>
    </row>
    <row r="875" spans="5:22">
      <c r="E875" s="968"/>
      <c r="F875" s="968"/>
      <c r="V875" s="968"/>
    </row>
    <row r="876" spans="5:22">
      <c r="E876" s="968"/>
      <c r="F876" s="968"/>
      <c r="V876" s="968"/>
    </row>
    <row r="877" spans="5:22">
      <c r="E877" s="968"/>
      <c r="F877" s="968"/>
      <c r="V877" s="968"/>
    </row>
    <row r="878" spans="5:22">
      <c r="E878" s="968"/>
      <c r="F878" s="968"/>
      <c r="V878" s="968"/>
    </row>
    <row r="879" spans="5:22">
      <c r="E879" s="968"/>
      <c r="F879" s="968"/>
      <c r="V879" s="968"/>
    </row>
    <row r="880" spans="5:22">
      <c r="E880" s="968"/>
      <c r="F880" s="968"/>
      <c r="V880" s="968"/>
    </row>
    <row r="881" spans="5:22">
      <c r="E881" s="968"/>
      <c r="F881" s="968"/>
      <c r="V881" s="968"/>
    </row>
    <row r="882" spans="5:22">
      <c r="E882" s="968"/>
      <c r="F882" s="968"/>
      <c r="V882" s="968"/>
    </row>
    <row r="883" spans="5:22">
      <c r="E883" s="968"/>
      <c r="F883" s="968"/>
      <c r="V883" s="968"/>
    </row>
    <row r="884" spans="5:22">
      <c r="E884" s="968"/>
      <c r="F884" s="968"/>
      <c r="V884" s="968"/>
    </row>
    <row r="885" spans="5:22">
      <c r="E885" s="968"/>
      <c r="F885" s="968"/>
      <c r="V885" s="968"/>
    </row>
    <row r="886" spans="5:22">
      <c r="E886" s="968"/>
      <c r="F886" s="968"/>
      <c r="V886" s="968"/>
    </row>
    <row r="887" spans="5:22">
      <c r="E887" s="968"/>
      <c r="F887" s="968"/>
      <c r="V887" s="968"/>
    </row>
    <row r="888" spans="5:22">
      <c r="E888" s="968"/>
      <c r="F888" s="968"/>
      <c r="V888" s="968"/>
    </row>
    <row r="889" spans="5:22">
      <c r="E889" s="968"/>
      <c r="F889" s="968"/>
      <c r="V889" s="968"/>
    </row>
    <row r="890" spans="5:22">
      <c r="E890" s="968"/>
      <c r="F890" s="968"/>
      <c r="V890" s="968"/>
    </row>
    <row r="891" spans="5:22">
      <c r="E891" s="968"/>
      <c r="F891" s="968"/>
      <c r="V891" s="968"/>
    </row>
    <row r="892" spans="5:22">
      <c r="E892" s="968"/>
      <c r="F892" s="968"/>
      <c r="V892" s="968"/>
    </row>
    <row r="893" spans="5:22">
      <c r="E893" s="968"/>
      <c r="F893" s="968"/>
      <c r="V893" s="968"/>
    </row>
    <row r="894" spans="5:22">
      <c r="E894" s="968"/>
      <c r="F894" s="968"/>
      <c r="V894" s="968"/>
    </row>
    <row r="895" spans="5:22">
      <c r="E895" s="968"/>
      <c r="F895" s="968"/>
      <c r="V895" s="968"/>
    </row>
    <row r="896" spans="5:22">
      <c r="E896" s="968"/>
      <c r="F896" s="968"/>
      <c r="V896" s="968"/>
    </row>
    <row r="897" spans="5:22">
      <c r="E897" s="968"/>
      <c r="F897" s="968"/>
      <c r="V897" s="968"/>
    </row>
    <row r="898" spans="5:22">
      <c r="E898" s="968"/>
      <c r="F898" s="968"/>
      <c r="V898" s="968"/>
    </row>
    <row r="899" spans="5:22">
      <c r="E899" s="968"/>
      <c r="F899" s="968"/>
      <c r="V899" s="968"/>
    </row>
    <row r="900" spans="5:22">
      <c r="E900" s="968"/>
      <c r="F900" s="968"/>
      <c r="V900" s="968"/>
    </row>
    <row r="901" spans="5:22">
      <c r="E901" s="968"/>
      <c r="F901" s="968"/>
      <c r="V901" s="968"/>
    </row>
    <row r="902" spans="5:22">
      <c r="E902" s="968"/>
      <c r="F902" s="968"/>
      <c r="V902" s="968"/>
    </row>
    <row r="903" spans="5:22">
      <c r="E903" s="968"/>
      <c r="F903" s="968"/>
      <c r="V903" s="968"/>
    </row>
    <row r="904" spans="5:22">
      <c r="E904" s="968"/>
      <c r="F904" s="968"/>
      <c r="V904" s="968"/>
    </row>
    <row r="905" spans="5:22">
      <c r="E905" s="968"/>
      <c r="F905" s="968"/>
      <c r="V905" s="968"/>
    </row>
    <row r="906" spans="5:22">
      <c r="E906" s="968"/>
      <c r="F906" s="968"/>
      <c r="V906" s="968"/>
    </row>
    <row r="907" spans="5:22">
      <c r="E907" s="968"/>
      <c r="F907" s="968"/>
      <c r="V907" s="968"/>
    </row>
    <row r="908" spans="5:22">
      <c r="E908" s="968"/>
      <c r="F908" s="968"/>
      <c r="V908" s="968"/>
    </row>
    <row r="909" spans="5:22">
      <c r="E909" s="968"/>
      <c r="F909" s="968"/>
      <c r="V909" s="968"/>
    </row>
    <row r="910" spans="5:22">
      <c r="E910" s="968"/>
      <c r="F910" s="968"/>
      <c r="V910" s="968"/>
    </row>
    <row r="911" spans="5:22">
      <c r="E911" s="968"/>
      <c r="F911" s="968"/>
      <c r="V911" s="968"/>
    </row>
    <row r="912" spans="5:22">
      <c r="E912" s="968"/>
      <c r="F912" s="968"/>
      <c r="V912" s="968"/>
    </row>
    <row r="913" spans="5:22">
      <c r="E913" s="968"/>
      <c r="F913" s="968"/>
      <c r="V913" s="968"/>
    </row>
    <row r="914" spans="5:22">
      <c r="E914" s="968"/>
      <c r="F914" s="968"/>
      <c r="V914" s="968"/>
    </row>
    <row r="915" spans="5:22">
      <c r="E915" s="968"/>
      <c r="F915" s="968"/>
      <c r="V915" s="968"/>
    </row>
    <row r="916" spans="5:22">
      <c r="E916" s="968"/>
      <c r="F916" s="968"/>
      <c r="V916" s="968"/>
    </row>
    <row r="917" spans="5:22">
      <c r="E917" s="968"/>
      <c r="F917" s="968"/>
      <c r="V917" s="968"/>
    </row>
    <row r="918" spans="5:22">
      <c r="E918" s="968"/>
      <c r="F918" s="968"/>
      <c r="V918" s="968"/>
    </row>
    <row r="919" spans="5:22">
      <c r="E919" s="968"/>
      <c r="F919" s="968"/>
      <c r="V919" s="968"/>
    </row>
    <row r="920" spans="5:22">
      <c r="E920" s="968"/>
      <c r="F920" s="968"/>
      <c r="V920" s="968"/>
    </row>
    <row r="921" spans="5:22">
      <c r="E921" s="968"/>
      <c r="F921" s="968"/>
      <c r="V921" s="968"/>
    </row>
    <row r="922" spans="5:22">
      <c r="E922" s="968"/>
      <c r="F922" s="968"/>
      <c r="V922" s="968"/>
    </row>
    <row r="923" spans="5:22">
      <c r="E923" s="968"/>
      <c r="F923" s="968"/>
      <c r="V923" s="968"/>
    </row>
    <row r="924" spans="5:22">
      <c r="E924" s="968"/>
      <c r="F924" s="968"/>
      <c r="V924" s="968"/>
    </row>
    <row r="925" spans="5:22">
      <c r="E925" s="968"/>
      <c r="F925" s="968"/>
      <c r="V925" s="968"/>
    </row>
    <row r="926" spans="5:22">
      <c r="E926" s="968"/>
      <c r="F926" s="968"/>
      <c r="V926" s="968"/>
    </row>
    <row r="927" spans="5:22">
      <c r="E927" s="968"/>
      <c r="F927" s="968"/>
      <c r="V927" s="968"/>
    </row>
    <row r="928" spans="5:22">
      <c r="E928" s="968"/>
      <c r="F928" s="968"/>
      <c r="V928" s="968"/>
    </row>
    <row r="929" spans="5:22">
      <c r="E929" s="968"/>
      <c r="F929" s="968"/>
      <c r="V929" s="968"/>
    </row>
    <row r="930" spans="5:22">
      <c r="E930" s="968"/>
      <c r="F930" s="968"/>
      <c r="V930" s="968"/>
    </row>
    <row r="931" spans="5:22">
      <c r="E931" s="968"/>
      <c r="F931" s="968"/>
      <c r="V931" s="968"/>
    </row>
    <row r="932" spans="5:22">
      <c r="E932" s="968"/>
      <c r="F932" s="968"/>
      <c r="V932" s="968"/>
    </row>
    <row r="933" spans="5:22">
      <c r="E933" s="968"/>
      <c r="F933" s="968"/>
      <c r="V933" s="968"/>
    </row>
    <row r="934" spans="5:22">
      <c r="E934" s="968"/>
      <c r="F934" s="968"/>
      <c r="V934" s="968"/>
    </row>
    <row r="935" spans="5:22">
      <c r="E935" s="968"/>
      <c r="F935" s="968"/>
      <c r="V935" s="968"/>
    </row>
    <row r="936" spans="5:22">
      <c r="E936" s="968"/>
      <c r="F936" s="968"/>
      <c r="V936" s="968"/>
    </row>
    <row r="937" spans="5:22">
      <c r="E937" s="968"/>
      <c r="F937" s="968"/>
      <c r="V937" s="968"/>
    </row>
    <row r="938" spans="5:22">
      <c r="E938" s="968"/>
      <c r="F938" s="968"/>
      <c r="V938" s="968"/>
    </row>
    <row r="939" spans="5:22">
      <c r="E939" s="968"/>
      <c r="F939" s="968"/>
      <c r="V939" s="968"/>
    </row>
    <row r="940" spans="5:22">
      <c r="E940" s="968"/>
      <c r="F940" s="968"/>
      <c r="V940" s="968"/>
    </row>
    <row r="941" spans="5:22">
      <c r="E941" s="968"/>
      <c r="F941" s="968"/>
      <c r="V941" s="968"/>
    </row>
    <row r="942" spans="5:22">
      <c r="E942" s="968"/>
      <c r="F942" s="968"/>
      <c r="V942" s="968"/>
    </row>
    <row r="943" spans="5:22">
      <c r="E943" s="968"/>
      <c r="F943" s="968"/>
      <c r="V943" s="968"/>
    </row>
    <row r="944" spans="5:22">
      <c r="E944" s="968"/>
      <c r="F944" s="968"/>
      <c r="V944" s="968"/>
    </row>
    <row r="945" spans="5:22">
      <c r="E945" s="968"/>
      <c r="F945" s="968"/>
      <c r="V945" s="968"/>
    </row>
    <row r="946" spans="5:22">
      <c r="E946" s="968"/>
      <c r="F946" s="968"/>
      <c r="V946" s="968"/>
    </row>
    <row r="947" spans="5:22">
      <c r="E947" s="968"/>
      <c r="F947" s="968"/>
      <c r="V947" s="968"/>
    </row>
    <row r="948" spans="5:22">
      <c r="E948" s="968"/>
      <c r="F948" s="968"/>
      <c r="V948" s="968"/>
    </row>
    <row r="949" spans="5:22">
      <c r="E949" s="968"/>
      <c r="F949" s="968"/>
      <c r="V949" s="968"/>
    </row>
    <row r="950" spans="5:22">
      <c r="E950" s="968"/>
      <c r="F950" s="968"/>
      <c r="V950" s="968"/>
    </row>
    <row r="951" spans="5:22">
      <c r="E951" s="968"/>
      <c r="F951" s="968"/>
      <c r="V951" s="968"/>
    </row>
    <row r="952" spans="5:22">
      <c r="E952" s="968"/>
      <c r="F952" s="968"/>
      <c r="V952" s="968"/>
    </row>
    <row r="953" spans="5:22">
      <c r="E953" s="968"/>
      <c r="F953" s="968"/>
      <c r="V953" s="968"/>
    </row>
    <row r="954" spans="5:22">
      <c r="E954" s="968"/>
      <c r="F954" s="968"/>
      <c r="V954" s="968"/>
    </row>
    <row r="955" spans="5:22">
      <c r="E955" s="968"/>
      <c r="F955" s="968"/>
      <c r="V955" s="968"/>
    </row>
    <row r="956" spans="5:22">
      <c r="E956" s="968"/>
      <c r="F956" s="968"/>
      <c r="V956" s="968"/>
    </row>
    <row r="957" spans="5:22">
      <c r="E957" s="968"/>
      <c r="F957" s="968"/>
      <c r="V957" s="968"/>
    </row>
    <row r="958" spans="5:22">
      <c r="E958" s="968"/>
      <c r="F958" s="968"/>
      <c r="V958" s="968"/>
    </row>
    <row r="959" spans="5:22">
      <c r="E959" s="968"/>
      <c r="F959" s="968"/>
      <c r="V959" s="968"/>
    </row>
    <row r="960" spans="5:22">
      <c r="E960" s="968"/>
      <c r="F960" s="968"/>
      <c r="V960" s="968"/>
    </row>
    <row r="961" spans="5:22">
      <c r="E961" s="968"/>
      <c r="F961" s="968"/>
      <c r="V961" s="968"/>
    </row>
    <row r="962" spans="5:22">
      <c r="E962" s="968"/>
      <c r="F962" s="968"/>
      <c r="V962" s="968"/>
    </row>
    <row r="963" spans="5:22">
      <c r="E963" s="968"/>
      <c r="F963" s="968"/>
      <c r="V963" s="968"/>
    </row>
    <row r="964" spans="5:22">
      <c r="E964" s="968"/>
      <c r="F964" s="968"/>
      <c r="V964" s="968"/>
    </row>
    <row r="965" spans="5:22">
      <c r="E965" s="968"/>
      <c r="F965" s="968"/>
      <c r="V965" s="968"/>
    </row>
    <row r="966" spans="5:22">
      <c r="E966" s="968"/>
      <c r="F966" s="968"/>
      <c r="V966" s="968"/>
    </row>
    <row r="967" spans="5:22">
      <c r="E967" s="968"/>
      <c r="F967" s="968"/>
      <c r="V967" s="968"/>
    </row>
    <row r="968" spans="5:22">
      <c r="E968" s="968"/>
      <c r="F968" s="968"/>
      <c r="V968" s="968"/>
    </row>
    <row r="969" spans="5:22">
      <c r="E969" s="968"/>
      <c r="F969" s="968"/>
      <c r="V969" s="968"/>
    </row>
    <row r="970" spans="5:22">
      <c r="E970" s="968"/>
      <c r="F970" s="968"/>
      <c r="V970" s="968"/>
    </row>
    <row r="971" spans="5:22">
      <c r="E971" s="968"/>
      <c r="F971" s="968"/>
      <c r="V971" s="968"/>
    </row>
    <row r="972" spans="5:22">
      <c r="E972" s="968"/>
      <c r="F972" s="968"/>
      <c r="V972" s="968"/>
    </row>
    <row r="973" spans="5:22">
      <c r="E973" s="968"/>
      <c r="F973" s="968"/>
      <c r="V973" s="968"/>
    </row>
    <row r="974" spans="5:22">
      <c r="E974" s="968"/>
      <c r="F974" s="968"/>
      <c r="V974" s="968"/>
    </row>
    <row r="975" spans="5:22">
      <c r="E975" s="968"/>
      <c r="F975" s="968"/>
      <c r="V975" s="968"/>
    </row>
    <row r="976" spans="5:22">
      <c r="E976" s="968"/>
      <c r="F976" s="968"/>
      <c r="V976" s="968"/>
    </row>
    <row r="977" spans="5:22">
      <c r="E977" s="968"/>
      <c r="F977" s="968"/>
      <c r="V977" s="968"/>
    </row>
    <row r="978" spans="5:22">
      <c r="E978" s="968"/>
      <c r="F978" s="968"/>
      <c r="V978" s="968"/>
    </row>
    <row r="979" spans="5:22">
      <c r="E979" s="968"/>
      <c r="F979" s="968"/>
      <c r="V979" s="968"/>
    </row>
    <row r="980" spans="5:22">
      <c r="E980" s="968"/>
      <c r="F980" s="968"/>
      <c r="V980" s="968"/>
    </row>
    <row r="981" spans="5:22">
      <c r="E981" s="968"/>
      <c r="F981" s="968"/>
      <c r="V981" s="968"/>
    </row>
    <row r="982" spans="5:22">
      <c r="E982" s="968"/>
      <c r="F982" s="968"/>
      <c r="V982" s="968"/>
    </row>
    <row r="983" spans="5:22">
      <c r="E983" s="968"/>
      <c r="F983" s="968"/>
      <c r="V983" s="968"/>
    </row>
    <row r="984" spans="5:22">
      <c r="E984" s="968"/>
      <c r="F984" s="968"/>
      <c r="V984" s="968"/>
    </row>
    <row r="985" spans="5:22">
      <c r="E985" s="968"/>
      <c r="F985" s="968"/>
      <c r="V985" s="968"/>
    </row>
    <row r="986" spans="5:22">
      <c r="E986" s="968"/>
      <c r="F986" s="968"/>
      <c r="V986" s="968"/>
    </row>
    <row r="987" spans="5:22">
      <c r="E987" s="968"/>
      <c r="F987" s="968"/>
      <c r="V987" s="968"/>
    </row>
    <row r="988" spans="5:22">
      <c r="E988" s="968"/>
      <c r="F988" s="968"/>
      <c r="V988" s="968"/>
    </row>
    <row r="989" spans="5:22">
      <c r="E989" s="968"/>
      <c r="F989" s="968"/>
      <c r="V989" s="968"/>
    </row>
    <row r="990" spans="5:22">
      <c r="E990" s="968"/>
      <c r="F990" s="968"/>
      <c r="V990" s="968"/>
    </row>
    <row r="991" spans="5:22">
      <c r="E991" s="968"/>
      <c r="F991" s="968"/>
      <c r="V991" s="968"/>
    </row>
    <row r="992" spans="5:22">
      <c r="E992" s="968"/>
      <c r="F992" s="968"/>
      <c r="V992" s="968"/>
    </row>
    <row r="993" spans="5:22">
      <c r="E993" s="968"/>
      <c r="F993" s="968"/>
      <c r="V993" s="968"/>
    </row>
    <row r="994" spans="5:22">
      <c r="E994" s="968"/>
      <c r="F994" s="968"/>
      <c r="V994" s="968"/>
    </row>
    <row r="995" spans="5:22">
      <c r="E995" s="968"/>
      <c r="F995" s="968"/>
      <c r="V995" s="968"/>
    </row>
    <row r="996" spans="5:22">
      <c r="E996" s="968"/>
      <c r="F996" s="968"/>
      <c r="V996" s="968"/>
    </row>
    <row r="997" spans="5:22">
      <c r="E997" s="968"/>
      <c r="F997" s="968"/>
      <c r="V997" s="968"/>
    </row>
    <row r="998" spans="5:22">
      <c r="E998" s="968"/>
      <c r="F998" s="968"/>
      <c r="V998" s="968"/>
    </row>
    <row r="999" spans="5:22">
      <c r="E999" s="968"/>
      <c r="F999" s="968"/>
      <c r="V999" s="968"/>
    </row>
    <row r="1000" spans="5:22">
      <c r="E1000" s="968"/>
      <c r="F1000" s="968"/>
      <c r="V1000" s="968"/>
    </row>
    <row r="1001" spans="5:22">
      <c r="E1001" s="968"/>
      <c r="F1001" s="968"/>
      <c r="V1001" s="968"/>
    </row>
    <row r="1002" spans="5:22">
      <c r="E1002" s="968"/>
      <c r="F1002" s="968"/>
      <c r="V1002" s="968"/>
    </row>
    <row r="1003" spans="5:22">
      <c r="E1003" s="968"/>
      <c r="F1003" s="968"/>
      <c r="V1003" s="968"/>
    </row>
    <row r="1004" spans="5:22">
      <c r="E1004" s="968"/>
      <c r="F1004" s="968"/>
      <c r="V1004" s="968"/>
    </row>
    <row r="1005" spans="5:22">
      <c r="E1005" s="968"/>
      <c r="F1005" s="968"/>
      <c r="V1005" s="968"/>
    </row>
    <row r="1006" spans="5:22">
      <c r="E1006" s="968"/>
      <c r="F1006" s="968"/>
      <c r="V1006" s="968"/>
    </row>
    <row r="1007" spans="5:22">
      <c r="E1007" s="968"/>
      <c r="F1007" s="968"/>
      <c r="V1007" s="968"/>
    </row>
    <row r="1008" spans="5:22">
      <c r="E1008" s="968"/>
      <c r="F1008" s="968"/>
      <c r="V1008" s="968"/>
    </row>
    <row r="1009" spans="5:22">
      <c r="E1009" s="968"/>
      <c r="F1009" s="968"/>
      <c r="V1009" s="968"/>
    </row>
    <row r="1010" spans="5:22">
      <c r="E1010" s="968"/>
      <c r="F1010" s="968"/>
      <c r="V1010" s="968"/>
    </row>
    <row r="1011" spans="5:22">
      <c r="E1011" s="968"/>
      <c r="F1011" s="968"/>
      <c r="V1011" s="968"/>
    </row>
    <row r="1012" spans="5:22">
      <c r="E1012" s="968"/>
      <c r="F1012" s="968"/>
      <c r="V1012" s="968"/>
    </row>
    <row r="1013" spans="5:22">
      <c r="E1013" s="968"/>
      <c r="F1013" s="968"/>
      <c r="V1013" s="968"/>
    </row>
    <row r="1014" spans="5:22">
      <c r="E1014" s="968"/>
      <c r="F1014" s="968"/>
      <c r="V1014" s="968"/>
    </row>
    <row r="1015" spans="5:22">
      <c r="E1015" s="968"/>
      <c r="F1015" s="968"/>
      <c r="V1015" s="968"/>
    </row>
    <row r="1016" spans="5:22">
      <c r="E1016" s="968"/>
      <c r="F1016" s="968"/>
      <c r="V1016" s="968"/>
    </row>
    <row r="1017" spans="5:22">
      <c r="E1017" s="968"/>
      <c r="F1017" s="968"/>
      <c r="V1017" s="968"/>
    </row>
    <row r="1018" spans="5:22">
      <c r="E1018" s="968"/>
      <c r="F1018" s="968"/>
      <c r="V1018" s="968"/>
    </row>
    <row r="1019" spans="5:22">
      <c r="E1019" s="968"/>
      <c r="F1019" s="968"/>
      <c r="V1019" s="968"/>
    </row>
    <row r="1020" spans="5:22">
      <c r="E1020" s="968"/>
      <c r="F1020" s="968"/>
      <c r="V1020" s="968"/>
    </row>
    <row r="1021" spans="5:22">
      <c r="E1021" s="968"/>
      <c r="F1021" s="968"/>
      <c r="V1021" s="968"/>
    </row>
    <row r="1022" spans="5:22">
      <c r="E1022" s="968"/>
      <c r="F1022" s="968"/>
      <c r="V1022" s="968"/>
    </row>
    <row r="1023" spans="5:22">
      <c r="E1023" s="968"/>
      <c r="F1023" s="968"/>
      <c r="V1023" s="968"/>
    </row>
    <row r="1024" spans="5:22">
      <c r="E1024" s="968"/>
      <c r="F1024" s="968"/>
      <c r="V1024" s="968"/>
    </row>
    <row r="1025" spans="5:22">
      <c r="E1025" s="968"/>
      <c r="F1025" s="968"/>
      <c r="V1025" s="968"/>
    </row>
    <row r="1026" spans="5:22">
      <c r="E1026" s="968"/>
      <c r="F1026" s="968"/>
      <c r="V1026" s="968"/>
    </row>
    <row r="1027" spans="5:22">
      <c r="E1027" s="968"/>
      <c r="F1027" s="968"/>
      <c r="V1027" s="968"/>
    </row>
    <row r="1028" spans="5:22">
      <c r="E1028" s="968"/>
      <c r="F1028" s="968"/>
      <c r="V1028" s="968"/>
    </row>
    <row r="1029" spans="5:22">
      <c r="E1029" s="968"/>
      <c r="F1029" s="968"/>
      <c r="V1029" s="968"/>
    </row>
    <row r="1030" spans="5:22">
      <c r="E1030" s="968"/>
      <c r="F1030" s="968"/>
      <c r="V1030" s="968"/>
    </row>
    <row r="1031" spans="5:22">
      <c r="E1031" s="968"/>
      <c r="F1031" s="968"/>
      <c r="V1031" s="968"/>
    </row>
    <row r="1032" spans="5:22">
      <c r="E1032" s="968"/>
      <c r="F1032" s="968"/>
      <c r="V1032" s="968"/>
    </row>
    <row r="1033" spans="5:22">
      <c r="E1033" s="968"/>
      <c r="F1033" s="968"/>
      <c r="V1033" s="968"/>
    </row>
    <row r="1034" spans="5:22">
      <c r="E1034" s="968"/>
      <c r="F1034" s="968"/>
      <c r="V1034" s="968"/>
    </row>
    <row r="1035" spans="5:22">
      <c r="E1035" s="968"/>
      <c r="F1035" s="968"/>
      <c r="V1035" s="968"/>
    </row>
    <row r="1036" spans="5:22">
      <c r="E1036" s="968"/>
      <c r="F1036" s="968"/>
      <c r="V1036" s="968"/>
    </row>
    <row r="1037" spans="5:22">
      <c r="E1037" s="968"/>
      <c r="F1037" s="968"/>
      <c r="V1037" s="968"/>
    </row>
    <row r="1038" spans="5:22">
      <c r="E1038" s="968"/>
      <c r="F1038" s="968"/>
      <c r="V1038" s="968"/>
    </row>
    <row r="1039" spans="5:22">
      <c r="E1039" s="968"/>
      <c r="F1039" s="968"/>
      <c r="V1039" s="968"/>
    </row>
    <row r="1040" spans="5:22">
      <c r="E1040" s="968"/>
      <c r="F1040" s="968"/>
      <c r="V1040" s="968"/>
    </row>
    <row r="1041" spans="5:22">
      <c r="E1041" s="968"/>
      <c r="F1041" s="968"/>
      <c r="V1041" s="968"/>
    </row>
    <row r="1042" spans="5:22">
      <c r="E1042" s="968"/>
      <c r="F1042" s="968"/>
      <c r="V1042" s="968"/>
    </row>
    <row r="1043" spans="5:22">
      <c r="E1043" s="968"/>
      <c r="F1043" s="968"/>
      <c r="V1043" s="968"/>
    </row>
    <row r="1044" spans="5:22">
      <c r="E1044" s="968"/>
      <c r="F1044" s="968"/>
      <c r="V1044" s="968"/>
    </row>
    <row r="1045" spans="5:22">
      <c r="E1045" s="968"/>
      <c r="F1045" s="968"/>
      <c r="V1045" s="968"/>
    </row>
    <row r="1046" spans="5:22">
      <c r="E1046" s="968"/>
      <c r="F1046" s="968"/>
      <c r="V1046" s="968"/>
    </row>
    <row r="1047" spans="5:22">
      <c r="E1047" s="968"/>
      <c r="F1047" s="968"/>
      <c r="V1047" s="968"/>
    </row>
    <row r="1048" spans="5:22">
      <c r="E1048" s="968"/>
      <c r="F1048" s="968"/>
      <c r="V1048" s="968"/>
    </row>
    <row r="1049" spans="5:22">
      <c r="E1049" s="968"/>
      <c r="F1049" s="968"/>
      <c r="V1049" s="968"/>
    </row>
    <row r="1050" spans="5:22">
      <c r="E1050" s="968"/>
      <c r="F1050" s="968"/>
      <c r="V1050" s="968"/>
    </row>
    <row r="1051" spans="5:22">
      <c r="E1051" s="968"/>
      <c r="F1051" s="968"/>
      <c r="V1051" s="968"/>
    </row>
    <row r="1052" spans="5:22">
      <c r="E1052" s="968"/>
      <c r="F1052" s="968"/>
      <c r="V1052" s="968"/>
    </row>
    <row r="1053" spans="5:22">
      <c r="E1053" s="968"/>
      <c r="F1053" s="968"/>
      <c r="V1053" s="968"/>
    </row>
    <row r="1054" spans="5:22">
      <c r="E1054" s="968"/>
      <c r="F1054" s="968"/>
      <c r="V1054" s="968"/>
    </row>
    <row r="1055" spans="5:22">
      <c r="E1055" s="968"/>
      <c r="F1055" s="968"/>
      <c r="V1055" s="968"/>
    </row>
    <row r="1056" spans="5:22">
      <c r="E1056" s="968"/>
      <c r="F1056" s="968"/>
      <c r="V1056" s="968"/>
    </row>
    <row r="1057" spans="5:22">
      <c r="E1057" s="968"/>
      <c r="F1057" s="968"/>
      <c r="V1057" s="968"/>
    </row>
    <row r="1058" spans="5:22">
      <c r="E1058" s="968"/>
      <c r="F1058" s="968"/>
      <c r="V1058" s="968"/>
    </row>
    <row r="1059" spans="5:22">
      <c r="E1059" s="968"/>
      <c r="F1059" s="968"/>
      <c r="V1059" s="968"/>
    </row>
    <row r="1060" spans="5:22">
      <c r="E1060" s="968"/>
      <c r="F1060" s="968"/>
      <c r="V1060" s="968"/>
    </row>
    <row r="1061" spans="5:22">
      <c r="E1061" s="968"/>
      <c r="F1061" s="968"/>
      <c r="V1061" s="968"/>
    </row>
    <row r="1062" spans="5:22">
      <c r="E1062" s="968"/>
      <c r="F1062" s="968"/>
      <c r="V1062" s="968"/>
    </row>
    <row r="1063" spans="5:22">
      <c r="E1063" s="968"/>
      <c r="F1063" s="968"/>
      <c r="V1063" s="968"/>
    </row>
    <row r="1064" spans="5:22">
      <c r="E1064" s="968"/>
      <c r="F1064" s="968"/>
      <c r="V1064" s="968"/>
    </row>
    <row r="1065" spans="5:22">
      <c r="E1065" s="968"/>
      <c r="F1065" s="968"/>
      <c r="V1065" s="968"/>
    </row>
    <row r="1066" spans="5:22">
      <c r="E1066" s="968"/>
      <c r="F1066" s="968"/>
      <c r="V1066" s="968"/>
    </row>
    <row r="1067" spans="5:22">
      <c r="E1067" s="968"/>
      <c r="F1067" s="968"/>
      <c r="V1067" s="968"/>
    </row>
    <row r="1068" spans="5:22">
      <c r="E1068" s="968"/>
      <c r="F1068" s="968"/>
      <c r="V1068" s="968"/>
    </row>
    <row r="1069" spans="5:22">
      <c r="E1069" s="968"/>
      <c r="F1069" s="968"/>
      <c r="V1069" s="968"/>
    </row>
    <row r="1070" spans="5:22">
      <c r="E1070" s="968"/>
      <c r="F1070" s="968"/>
      <c r="V1070" s="968"/>
    </row>
    <row r="1071" spans="5:22">
      <c r="E1071" s="968"/>
      <c r="F1071" s="968"/>
      <c r="V1071" s="968"/>
    </row>
    <row r="1072" spans="5:22">
      <c r="E1072" s="968"/>
      <c r="F1072" s="968"/>
      <c r="V1072" s="968"/>
    </row>
    <row r="1073" spans="5:22">
      <c r="E1073" s="968"/>
      <c r="F1073" s="968"/>
      <c r="V1073" s="968"/>
    </row>
    <row r="1074" spans="5:22">
      <c r="E1074" s="968"/>
      <c r="F1074" s="968"/>
      <c r="V1074" s="968"/>
    </row>
    <row r="1075" spans="5:22">
      <c r="E1075" s="968"/>
      <c r="F1075" s="968"/>
      <c r="V1075" s="968"/>
    </row>
    <row r="1076" spans="5:22">
      <c r="E1076" s="968"/>
      <c r="F1076" s="968"/>
      <c r="V1076" s="968"/>
    </row>
    <row r="1077" spans="5:22">
      <c r="E1077" s="968"/>
      <c r="F1077" s="968"/>
      <c r="V1077" s="968"/>
    </row>
    <row r="1078" spans="5:22">
      <c r="E1078" s="968"/>
      <c r="F1078" s="968"/>
      <c r="V1078" s="968"/>
    </row>
    <row r="1079" spans="5:22">
      <c r="E1079" s="968"/>
      <c r="F1079" s="968"/>
      <c r="V1079" s="968"/>
    </row>
    <row r="1080" spans="5:22">
      <c r="E1080" s="968"/>
      <c r="F1080" s="968"/>
      <c r="V1080" s="968"/>
    </row>
    <row r="1081" spans="5:22">
      <c r="E1081" s="968"/>
      <c r="F1081" s="968"/>
      <c r="V1081" s="968"/>
    </row>
    <row r="1082" spans="5:22">
      <c r="E1082" s="968"/>
      <c r="F1082" s="968"/>
      <c r="V1082" s="968"/>
    </row>
    <row r="1083" spans="5:22">
      <c r="E1083" s="968"/>
      <c r="F1083" s="968"/>
      <c r="V1083" s="968"/>
    </row>
    <row r="1084" spans="5:22">
      <c r="E1084" s="968"/>
      <c r="F1084" s="968"/>
      <c r="V1084" s="968"/>
    </row>
    <row r="1085" spans="5:22">
      <c r="E1085" s="968"/>
      <c r="F1085" s="968"/>
      <c r="V1085" s="968"/>
    </row>
    <row r="1086" spans="5:22">
      <c r="E1086" s="968"/>
      <c r="F1086" s="968"/>
      <c r="V1086" s="968"/>
    </row>
    <row r="1087" spans="5:22">
      <c r="E1087" s="968"/>
      <c r="F1087" s="968"/>
      <c r="V1087" s="968"/>
    </row>
    <row r="1088" spans="5:22">
      <c r="E1088" s="968"/>
      <c r="F1088" s="968"/>
      <c r="V1088" s="968"/>
    </row>
    <row r="1089" spans="5:22">
      <c r="E1089" s="968"/>
      <c r="F1089" s="968"/>
      <c r="V1089" s="968"/>
    </row>
    <row r="1090" spans="5:22">
      <c r="E1090" s="968"/>
      <c r="F1090" s="968"/>
      <c r="V1090" s="968"/>
    </row>
    <row r="1091" spans="5:22">
      <c r="E1091" s="968"/>
      <c r="F1091" s="968"/>
      <c r="V1091" s="968"/>
    </row>
    <row r="1092" spans="5:22">
      <c r="E1092" s="968"/>
      <c r="F1092" s="968"/>
      <c r="V1092" s="968"/>
    </row>
    <row r="1093" spans="5:22">
      <c r="E1093" s="968"/>
      <c r="F1093" s="968"/>
      <c r="V1093" s="968"/>
    </row>
    <row r="1094" spans="5:22">
      <c r="E1094" s="968"/>
      <c r="F1094" s="968"/>
      <c r="V1094" s="968"/>
    </row>
    <row r="1095" spans="5:22">
      <c r="E1095" s="968"/>
      <c r="F1095" s="968"/>
      <c r="V1095" s="968"/>
    </row>
    <row r="1096" spans="5:22">
      <c r="E1096" s="968"/>
      <c r="F1096" s="968"/>
      <c r="V1096" s="968"/>
    </row>
    <row r="1097" spans="5:22">
      <c r="E1097" s="968"/>
      <c r="F1097" s="968"/>
      <c r="V1097" s="968"/>
    </row>
    <row r="1098" spans="5:22">
      <c r="E1098" s="968"/>
      <c r="F1098" s="968"/>
      <c r="V1098" s="968"/>
    </row>
    <row r="1099" spans="5:22">
      <c r="E1099" s="968"/>
      <c r="F1099" s="968"/>
      <c r="V1099" s="968"/>
    </row>
    <row r="1100" spans="5:22">
      <c r="E1100" s="968"/>
      <c r="F1100" s="968"/>
      <c r="V1100" s="968"/>
    </row>
    <row r="1101" spans="5:22">
      <c r="E1101" s="968"/>
      <c r="F1101" s="968"/>
      <c r="V1101" s="968"/>
    </row>
    <row r="1102" spans="5:22">
      <c r="E1102" s="968"/>
      <c r="F1102" s="968"/>
      <c r="V1102" s="968"/>
    </row>
    <row r="1103" spans="5:22">
      <c r="E1103" s="968"/>
      <c r="F1103" s="968"/>
      <c r="V1103" s="968"/>
    </row>
    <row r="1104" spans="5:22">
      <c r="E1104" s="968"/>
      <c r="F1104" s="968"/>
      <c r="V1104" s="968"/>
    </row>
    <row r="1105" spans="5:22">
      <c r="E1105" s="968"/>
      <c r="F1105" s="968"/>
      <c r="V1105" s="968"/>
    </row>
    <row r="1106" spans="5:22">
      <c r="E1106" s="968"/>
      <c r="F1106" s="968"/>
      <c r="V1106" s="968"/>
    </row>
    <row r="1107" spans="5:22">
      <c r="E1107" s="968"/>
      <c r="F1107" s="968"/>
      <c r="V1107" s="968"/>
    </row>
    <row r="1108" spans="5:22">
      <c r="E1108" s="968"/>
      <c r="F1108" s="968"/>
      <c r="V1108" s="968"/>
    </row>
    <row r="1109" spans="5:22">
      <c r="E1109" s="968"/>
      <c r="F1109" s="968"/>
      <c r="V1109" s="968"/>
    </row>
    <row r="1110" spans="5:22">
      <c r="E1110" s="968"/>
      <c r="F1110" s="968"/>
      <c r="V1110" s="968"/>
    </row>
    <row r="1111" spans="5:22">
      <c r="E1111" s="968"/>
      <c r="F1111" s="968"/>
      <c r="V1111" s="968"/>
    </row>
    <row r="1112" spans="5:22">
      <c r="E1112" s="968"/>
      <c r="F1112" s="968"/>
      <c r="V1112" s="968"/>
    </row>
    <row r="1113" spans="5:22">
      <c r="E1113" s="968"/>
      <c r="F1113" s="968"/>
      <c r="V1113" s="968"/>
    </row>
    <row r="1114" spans="5:22">
      <c r="E1114" s="968"/>
      <c r="F1114" s="968"/>
      <c r="V1114" s="968"/>
    </row>
    <row r="1115" spans="5:22">
      <c r="E1115" s="968"/>
      <c r="F1115" s="968"/>
      <c r="V1115" s="968"/>
    </row>
    <row r="1116" spans="5:22">
      <c r="E1116" s="968"/>
      <c r="F1116" s="968"/>
      <c r="V1116" s="968"/>
    </row>
    <row r="1117" spans="5:22">
      <c r="E1117" s="968"/>
      <c r="F1117" s="968"/>
      <c r="V1117" s="968"/>
    </row>
    <row r="1118" spans="5:22">
      <c r="E1118" s="968"/>
      <c r="F1118" s="968"/>
      <c r="V1118" s="968"/>
    </row>
    <row r="1119" spans="5:22">
      <c r="E1119" s="968"/>
      <c r="F1119" s="968"/>
      <c r="V1119" s="968"/>
    </row>
    <row r="1120" spans="5:22">
      <c r="E1120" s="968"/>
      <c r="F1120" s="968"/>
      <c r="V1120" s="968"/>
    </row>
    <row r="1121" spans="5:22">
      <c r="E1121" s="968"/>
      <c r="F1121" s="968"/>
      <c r="V1121" s="968"/>
    </row>
    <row r="1122" spans="5:22">
      <c r="E1122" s="968"/>
      <c r="F1122" s="968"/>
      <c r="V1122" s="968"/>
    </row>
    <row r="1123" spans="5:22">
      <c r="E1123" s="968"/>
      <c r="F1123" s="968"/>
      <c r="V1123" s="968"/>
    </row>
    <row r="1124" spans="5:22">
      <c r="E1124" s="968"/>
      <c r="F1124" s="968"/>
      <c r="V1124" s="968"/>
    </row>
    <row r="1125" spans="5:22">
      <c r="E1125" s="968"/>
      <c r="F1125" s="968"/>
      <c r="V1125" s="968"/>
    </row>
    <row r="1126" spans="5:22">
      <c r="E1126" s="968"/>
      <c r="F1126" s="968"/>
      <c r="V1126" s="968"/>
    </row>
    <row r="1127" spans="5:22">
      <c r="E1127" s="968"/>
      <c r="F1127" s="968"/>
      <c r="V1127" s="968"/>
    </row>
    <row r="1128" spans="5:22">
      <c r="E1128" s="968"/>
      <c r="F1128" s="968"/>
      <c r="V1128" s="968"/>
    </row>
    <row r="1129" spans="5:22">
      <c r="E1129" s="968"/>
      <c r="F1129" s="968"/>
      <c r="V1129" s="968"/>
    </row>
    <row r="1130" spans="5:22">
      <c r="E1130" s="968"/>
      <c r="F1130" s="968"/>
      <c r="V1130" s="968"/>
    </row>
    <row r="1131" spans="5:22">
      <c r="E1131" s="968"/>
      <c r="F1131" s="968"/>
      <c r="V1131" s="968"/>
    </row>
    <row r="1132" spans="5:22">
      <c r="E1132" s="968"/>
      <c r="F1132" s="968"/>
      <c r="V1132" s="968"/>
    </row>
    <row r="1133" spans="5:22">
      <c r="E1133" s="968"/>
      <c r="F1133" s="968"/>
      <c r="V1133" s="968"/>
    </row>
    <row r="1134" spans="5:22">
      <c r="E1134" s="968"/>
      <c r="F1134" s="968"/>
      <c r="V1134" s="968"/>
    </row>
    <row r="1135" spans="5:22">
      <c r="E1135" s="968"/>
      <c r="F1135" s="968"/>
      <c r="V1135" s="968"/>
    </row>
    <row r="1136" spans="5:22">
      <c r="E1136" s="968"/>
      <c r="F1136" s="968"/>
      <c r="V1136" s="968"/>
    </row>
    <row r="1137" spans="5:22">
      <c r="E1137" s="968"/>
      <c r="F1137" s="968"/>
      <c r="V1137" s="968"/>
    </row>
    <row r="1138" spans="5:22">
      <c r="E1138" s="968"/>
      <c r="F1138" s="968"/>
      <c r="V1138" s="968"/>
    </row>
    <row r="1139" spans="5:22">
      <c r="E1139" s="968"/>
      <c r="F1139" s="968"/>
      <c r="V1139" s="968"/>
    </row>
    <row r="1140" spans="5:22">
      <c r="E1140" s="968"/>
      <c r="F1140" s="968"/>
      <c r="V1140" s="968"/>
    </row>
    <row r="1141" spans="5:22">
      <c r="E1141" s="968"/>
      <c r="F1141" s="968"/>
      <c r="V1141" s="968"/>
    </row>
    <row r="1142" spans="5:22">
      <c r="E1142" s="968"/>
      <c r="F1142" s="968"/>
      <c r="V1142" s="968"/>
    </row>
    <row r="1143" spans="5:22">
      <c r="E1143" s="968"/>
      <c r="F1143" s="968"/>
      <c r="V1143" s="968"/>
    </row>
    <row r="1144" spans="5:22">
      <c r="E1144" s="968"/>
      <c r="F1144" s="968"/>
      <c r="V1144" s="968"/>
    </row>
    <row r="1145" spans="5:22">
      <c r="E1145" s="968"/>
      <c r="F1145" s="968"/>
      <c r="V1145" s="968"/>
    </row>
    <row r="1146" spans="5:22">
      <c r="E1146" s="968"/>
      <c r="F1146" s="968"/>
      <c r="V1146" s="968"/>
    </row>
    <row r="1147" spans="5:22">
      <c r="E1147" s="968"/>
      <c r="F1147" s="968"/>
      <c r="V1147" s="968"/>
    </row>
    <row r="1148" spans="5:22">
      <c r="E1148" s="968"/>
      <c r="F1148" s="968"/>
      <c r="V1148" s="968"/>
    </row>
    <row r="1149" spans="5:22">
      <c r="E1149" s="968"/>
      <c r="F1149" s="968"/>
      <c r="V1149" s="968"/>
    </row>
    <row r="1150" spans="5:22">
      <c r="E1150" s="968"/>
      <c r="F1150" s="968"/>
      <c r="V1150" s="968"/>
    </row>
    <row r="1151" spans="5:22">
      <c r="E1151" s="968"/>
      <c r="F1151" s="968"/>
      <c r="V1151" s="968"/>
    </row>
    <row r="1152" spans="5:22">
      <c r="E1152" s="968"/>
      <c r="F1152" s="968"/>
      <c r="V1152" s="968"/>
    </row>
    <row r="1153" spans="5:22">
      <c r="E1153" s="968"/>
      <c r="F1153" s="968"/>
      <c r="V1153" s="968"/>
    </row>
    <row r="1154" spans="5:22">
      <c r="E1154" s="968"/>
      <c r="F1154" s="968"/>
      <c r="V1154" s="968"/>
    </row>
    <row r="1155" spans="5:22">
      <c r="E1155" s="968"/>
      <c r="F1155" s="968"/>
      <c r="V1155" s="968"/>
    </row>
    <row r="1156" spans="5:22">
      <c r="E1156" s="968"/>
      <c r="F1156" s="968"/>
      <c r="V1156" s="968"/>
    </row>
    <row r="1157" spans="5:22">
      <c r="E1157" s="968"/>
      <c r="F1157" s="968"/>
      <c r="V1157" s="968"/>
    </row>
    <row r="1158" spans="5:22">
      <c r="E1158" s="968"/>
      <c r="F1158" s="968"/>
      <c r="V1158" s="968"/>
    </row>
    <row r="1159" spans="5:22">
      <c r="E1159" s="968"/>
      <c r="F1159" s="968"/>
      <c r="V1159" s="968"/>
    </row>
    <row r="1160" spans="5:22">
      <c r="E1160" s="968"/>
      <c r="F1160" s="968"/>
      <c r="V1160" s="968"/>
    </row>
    <row r="1161" spans="5:22">
      <c r="E1161" s="968"/>
      <c r="F1161" s="968"/>
      <c r="V1161" s="968"/>
    </row>
    <row r="1162" spans="5:22">
      <c r="E1162" s="968"/>
      <c r="F1162" s="968"/>
      <c r="V1162" s="968"/>
    </row>
    <row r="1163" spans="5:22">
      <c r="E1163" s="968"/>
      <c r="F1163" s="968"/>
      <c r="V1163" s="968"/>
    </row>
    <row r="1164" spans="5:22">
      <c r="E1164" s="968"/>
      <c r="F1164" s="968"/>
      <c r="V1164" s="968"/>
    </row>
    <row r="1165" spans="5:22">
      <c r="E1165" s="968"/>
      <c r="F1165" s="968"/>
      <c r="V1165" s="968"/>
    </row>
    <row r="1166" spans="5:22">
      <c r="E1166" s="968"/>
      <c r="F1166" s="968"/>
      <c r="V1166" s="968"/>
    </row>
    <row r="1167" spans="5:22">
      <c r="E1167" s="968"/>
      <c r="F1167" s="968"/>
      <c r="V1167" s="968"/>
    </row>
    <row r="1168" spans="5:22">
      <c r="E1168" s="968"/>
      <c r="F1168" s="968"/>
      <c r="V1168" s="968"/>
    </row>
    <row r="1169" spans="5:22">
      <c r="E1169" s="968"/>
      <c r="F1169" s="968"/>
      <c r="V1169" s="968"/>
    </row>
    <row r="1170" spans="5:22">
      <c r="E1170" s="968"/>
      <c r="F1170" s="968"/>
      <c r="V1170" s="968"/>
    </row>
    <row r="1171" spans="5:22">
      <c r="E1171" s="968"/>
      <c r="F1171" s="968"/>
      <c r="V1171" s="968"/>
    </row>
    <row r="1172" spans="5:22">
      <c r="E1172" s="968"/>
      <c r="F1172" s="968"/>
      <c r="V1172" s="968"/>
    </row>
    <row r="1173" spans="5:22">
      <c r="E1173" s="968"/>
      <c r="F1173" s="968"/>
      <c r="V1173" s="968"/>
    </row>
    <row r="1174" spans="5:22">
      <c r="E1174" s="968"/>
      <c r="F1174" s="968"/>
      <c r="V1174" s="968"/>
    </row>
    <row r="1175" spans="5:22">
      <c r="E1175" s="968"/>
      <c r="F1175" s="968"/>
      <c r="V1175" s="968"/>
    </row>
    <row r="1176" spans="5:22">
      <c r="E1176" s="968"/>
      <c r="F1176" s="968"/>
      <c r="V1176" s="968"/>
    </row>
    <row r="1177" spans="5:22">
      <c r="E1177" s="968"/>
      <c r="F1177" s="968"/>
      <c r="V1177" s="968"/>
    </row>
    <row r="1178" spans="5:22">
      <c r="E1178" s="968"/>
      <c r="F1178" s="968"/>
      <c r="V1178" s="968"/>
    </row>
    <row r="1179" spans="5:22">
      <c r="E1179" s="968"/>
      <c r="F1179" s="968"/>
      <c r="V1179" s="968"/>
    </row>
    <row r="1180" spans="5:22">
      <c r="E1180" s="968"/>
      <c r="F1180" s="968"/>
      <c r="V1180" s="968"/>
    </row>
    <row r="1181" spans="5:22">
      <c r="E1181" s="968"/>
      <c r="F1181" s="968"/>
      <c r="V1181" s="968"/>
    </row>
    <row r="1182" spans="5:22">
      <c r="E1182" s="968"/>
      <c r="F1182" s="968"/>
      <c r="V1182" s="968"/>
    </row>
    <row r="1183" spans="5:22">
      <c r="E1183" s="968"/>
      <c r="F1183" s="968"/>
      <c r="V1183" s="968"/>
    </row>
    <row r="1184" spans="5:22">
      <c r="E1184" s="968"/>
      <c r="F1184" s="968"/>
      <c r="V1184" s="968"/>
    </row>
    <row r="1185" spans="5:22">
      <c r="E1185" s="968"/>
      <c r="F1185" s="968"/>
      <c r="V1185" s="968"/>
    </row>
    <row r="1186" spans="5:22">
      <c r="E1186" s="968"/>
      <c r="F1186" s="968"/>
      <c r="V1186" s="968"/>
    </row>
    <row r="1187" spans="5:22">
      <c r="E1187" s="968"/>
      <c r="F1187" s="968"/>
      <c r="V1187" s="968"/>
    </row>
    <row r="1188" spans="5:22">
      <c r="E1188" s="968"/>
      <c r="F1188" s="968"/>
      <c r="V1188" s="1039"/>
    </row>
    <row r="1189" spans="5:22">
      <c r="E1189" s="968"/>
      <c r="F1189" s="968"/>
    </row>
    <row r="1190" spans="5:22">
      <c r="E1190" s="968"/>
      <c r="F1190" s="968"/>
    </row>
    <row r="1191" spans="5:22">
      <c r="E1191" s="968"/>
      <c r="F1191" s="968"/>
    </row>
    <row r="1192" spans="5:22">
      <c r="E1192" s="968"/>
      <c r="F1192" s="968"/>
    </row>
    <row r="1193" spans="5:22">
      <c r="E1193" s="968"/>
      <c r="F1193" s="968"/>
    </row>
    <row r="1194" spans="5:22">
      <c r="E1194" s="968"/>
      <c r="F1194" s="968"/>
    </row>
    <row r="1195" spans="5:22">
      <c r="E1195" s="968"/>
      <c r="F1195" s="968"/>
    </row>
    <row r="1196" spans="5:22">
      <c r="E1196" s="968"/>
      <c r="F1196" s="968"/>
    </row>
    <row r="1197" spans="5:22">
      <c r="E1197" s="968"/>
      <c r="F1197" s="968"/>
    </row>
    <row r="1198" spans="5:22">
      <c r="E1198" s="968"/>
      <c r="F1198" s="968"/>
    </row>
    <row r="1199" spans="5:22">
      <c r="E1199" s="968"/>
      <c r="F1199" s="968"/>
    </row>
    <row r="1200" spans="5:22">
      <c r="E1200" s="968"/>
      <c r="F1200" s="968"/>
    </row>
    <row r="1201" spans="5:6">
      <c r="E1201" s="968"/>
      <c r="F1201" s="968"/>
    </row>
    <row r="1202" spans="5:6">
      <c r="E1202" s="968"/>
      <c r="F1202" s="968"/>
    </row>
    <row r="1203" spans="5:6">
      <c r="E1203" s="968"/>
      <c r="F1203" s="968"/>
    </row>
  </sheetData>
  <sheetProtection algorithmName="SHA-512" hashValue="0PBQC/P92vrlqavcLQcvCtpNqEQ+/3+PKZ220Sp9Q30/0XS7Yp4y5IsX2pxqhOWvwB1+mY4XDx3EGWnKFdd7Ew==" saltValue="tRbvoT1ED83jp1ulZZ59/w==" spinCount="100000" sheet="1" objects="1" scenarios="1"/>
  <mergeCells count="556">
    <mergeCell ref="A99:A101"/>
    <mergeCell ref="S113:S114"/>
    <mergeCell ref="P115:P116"/>
    <mergeCell ref="Q115:Q116"/>
    <mergeCell ref="R115:R116"/>
    <mergeCell ref="S115:S116"/>
    <mergeCell ref="Q70:Q71"/>
    <mergeCell ref="R70:R71"/>
    <mergeCell ref="Q123:Q125"/>
    <mergeCell ref="R123:R125"/>
    <mergeCell ref="S123:S125"/>
    <mergeCell ref="R87:R88"/>
    <mergeCell ref="S87:S88"/>
    <mergeCell ref="P120:P122"/>
    <mergeCell ref="Q120:Q122"/>
    <mergeCell ref="S70:S71"/>
    <mergeCell ref="S74:S76"/>
    <mergeCell ref="S92:S94"/>
    <mergeCell ref="P85:P86"/>
    <mergeCell ref="Q85:Q86"/>
    <mergeCell ref="P82:P84"/>
    <mergeCell ref="Q82:Q84"/>
    <mergeCell ref="V180:V194"/>
    <mergeCell ref="V195:V196"/>
    <mergeCell ref="W30:W31"/>
    <mergeCell ref="V169:V177"/>
    <mergeCell ref="V34:V35"/>
    <mergeCell ref="R37:R38"/>
    <mergeCell ref="P51:P52"/>
    <mergeCell ref="Q53:Q54"/>
    <mergeCell ref="R53:R54"/>
    <mergeCell ref="S53:S54"/>
    <mergeCell ref="T53:T54"/>
    <mergeCell ref="Q55:Q56"/>
    <mergeCell ref="R55:R56"/>
    <mergeCell ref="S55:S56"/>
    <mergeCell ref="T55:T56"/>
    <mergeCell ref="Q65:Q66"/>
    <mergeCell ref="R65:R66"/>
    <mergeCell ref="Q72:Q73"/>
    <mergeCell ref="A1:O1"/>
    <mergeCell ref="H16:H17"/>
    <mergeCell ref="R1:V1"/>
    <mergeCell ref="S19:S23"/>
    <mergeCell ref="T19:T23"/>
    <mergeCell ref="A24:A27"/>
    <mergeCell ref="B26:B27"/>
    <mergeCell ref="C26:C27"/>
    <mergeCell ref="V16:V17"/>
    <mergeCell ref="A19:A23"/>
    <mergeCell ref="B19:B23"/>
    <mergeCell ref="C19:C23"/>
    <mergeCell ref="N19:N23"/>
    <mergeCell ref="O19:O23"/>
    <mergeCell ref="P19:P23"/>
    <mergeCell ref="Q19:Q23"/>
    <mergeCell ref="R19:R23"/>
    <mergeCell ref="Q16:Q17"/>
    <mergeCell ref="L16:L17"/>
    <mergeCell ref="P15:S15"/>
    <mergeCell ref="V19:V23"/>
    <mergeCell ref="A2:V2"/>
    <mergeCell ref="A11:V11"/>
    <mergeCell ref="U19:U23"/>
    <mergeCell ref="K16:K17"/>
    <mergeCell ref="G16:G17"/>
    <mergeCell ref="F16:F17"/>
    <mergeCell ref="E16:E17"/>
    <mergeCell ref="D16:D17"/>
    <mergeCell ref="C16:C17"/>
    <mergeCell ref="N32:N33"/>
    <mergeCell ref="N34:N35"/>
    <mergeCell ref="A32:A33"/>
    <mergeCell ref="B32:B33"/>
    <mergeCell ref="C32:C33"/>
    <mergeCell ref="M16:M17"/>
    <mergeCell ref="I16:I17"/>
    <mergeCell ref="J16:J17"/>
    <mergeCell ref="A30:A31"/>
    <mergeCell ref="B30:B31"/>
    <mergeCell ref="C30:C31"/>
    <mergeCell ref="B16:B17"/>
    <mergeCell ref="N30:N31"/>
    <mergeCell ref="B43:B44"/>
    <mergeCell ref="C43:C44"/>
    <mergeCell ref="A16:A17"/>
    <mergeCell ref="A34:A35"/>
    <mergeCell ref="B34:B35"/>
    <mergeCell ref="C34:C35"/>
    <mergeCell ref="C48:C50"/>
    <mergeCell ref="A51:A52"/>
    <mergeCell ref="B51:B52"/>
    <mergeCell ref="A37:A40"/>
    <mergeCell ref="B37:B40"/>
    <mergeCell ref="C37:C40"/>
    <mergeCell ref="A41:A42"/>
    <mergeCell ref="A43:A44"/>
    <mergeCell ref="B41:B42"/>
    <mergeCell ref="C41:C42"/>
    <mergeCell ref="A67:A69"/>
    <mergeCell ref="B67:B69"/>
    <mergeCell ref="C67:C69"/>
    <mergeCell ref="A72:A73"/>
    <mergeCell ref="A74:A76"/>
    <mergeCell ref="C51:C52"/>
    <mergeCell ref="A45:A47"/>
    <mergeCell ref="B45:B47"/>
    <mergeCell ref="A48:A50"/>
    <mergeCell ref="B48:B50"/>
    <mergeCell ref="A70:A71"/>
    <mergeCell ref="B70:B71"/>
    <mergeCell ref="C70:C71"/>
    <mergeCell ref="C80:C81"/>
    <mergeCell ref="O80:O81"/>
    <mergeCell ref="P80:P81"/>
    <mergeCell ref="Q80:Q81"/>
    <mergeCell ref="A77:A79"/>
    <mergeCell ref="B77:B79"/>
    <mergeCell ref="C77:C79"/>
    <mergeCell ref="O77:O79"/>
    <mergeCell ref="P77:P79"/>
    <mergeCell ref="Q77:Q79"/>
    <mergeCell ref="A80:A81"/>
    <mergeCell ref="B80:B81"/>
    <mergeCell ref="O70:O71"/>
    <mergeCell ref="P70:P71"/>
    <mergeCell ref="A53:A54"/>
    <mergeCell ref="B53:B54"/>
    <mergeCell ref="C53:C54"/>
    <mergeCell ref="O53:O54"/>
    <mergeCell ref="P53:P54"/>
    <mergeCell ref="P57:P58"/>
    <mergeCell ref="A59:A61"/>
    <mergeCell ref="B59:B61"/>
    <mergeCell ref="N53:N71"/>
    <mergeCell ref="O57:O58"/>
    <mergeCell ref="O55:O56"/>
    <mergeCell ref="A55:A56"/>
    <mergeCell ref="B55:B56"/>
    <mergeCell ref="C55:C56"/>
    <mergeCell ref="C59:C61"/>
    <mergeCell ref="C65:C66"/>
    <mergeCell ref="B62:B64"/>
    <mergeCell ref="C62:C64"/>
    <mergeCell ref="A65:A66"/>
    <mergeCell ref="B65:B66"/>
    <mergeCell ref="A57:A58"/>
    <mergeCell ref="B57:B58"/>
    <mergeCell ref="C57:C58"/>
    <mergeCell ref="A62:A64"/>
    <mergeCell ref="B74:B76"/>
    <mergeCell ref="C74:C76"/>
    <mergeCell ref="D74:D75"/>
    <mergeCell ref="N72:N76"/>
    <mergeCell ref="O74:O76"/>
    <mergeCell ref="B72:B73"/>
    <mergeCell ref="C72:C73"/>
    <mergeCell ref="A85:A86"/>
    <mergeCell ref="B85:B86"/>
    <mergeCell ref="C85:C86"/>
    <mergeCell ref="O85:O86"/>
    <mergeCell ref="A82:A84"/>
    <mergeCell ref="B82:B84"/>
    <mergeCell ref="C82:C84"/>
    <mergeCell ref="O82:O84"/>
    <mergeCell ref="C87:C88"/>
    <mergeCell ref="O87:O88"/>
    <mergeCell ref="P87:P88"/>
    <mergeCell ref="Q87:Q88"/>
    <mergeCell ref="A96:A98"/>
    <mergeCell ref="B96:B98"/>
    <mergeCell ref="C96:C98"/>
    <mergeCell ref="O96:O98"/>
    <mergeCell ref="P96:P98"/>
    <mergeCell ref="Q96:Q98"/>
    <mergeCell ref="O89:O91"/>
    <mergeCell ref="P89:P91"/>
    <mergeCell ref="Q89:Q91"/>
    <mergeCell ref="N96:N98"/>
    <mergeCell ref="N113:N116"/>
    <mergeCell ref="O104:O106"/>
    <mergeCell ref="P104:P106"/>
    <mergeCell ref="A89:A91"/>
    <mergeCell ref="B89:B91"/>
    <mergeCell ref="C89:C91"/>
    <mergeCell ref="A115:A116"/>
    <mergeCell ref="B115:B116"/>
    <mergeCell ref="C115:C116"/>
    <mergeCell ref="O115:O116"/>
    <mergeCell ref="A102:A103"/>
    <mergeCell ref="A113:A114"/>
    <mergeCell ref="B113:B114"/>
    <mergeCell ref="C113:C114"/>
    <mergeCell ref="O113:O114"/>
    <mergeCell ref="P113:P114"/>
    <mergeCell ref="A92:A94"/>
    <mergeCell ref="B92:B94"/>
    <mergeCell ref="C92:C94"/>
    <mergeCell ref="O92:O94"/>
    <mergeCell ref="P92:P94"/>
    <mergeCell ref="N77:N94"/>
    <mergeCell ref="A87:A88"/>
    <mergeCell ref="B87:B88"/>
    <mergeCell ref="B118:B119"/>
    <mergeCell ref="C118:C119"/>
    <mergeCell ref="A120:A122"/>
    <mergeCell ref="B120:B122"/>
    <mergeCell ref="C120:C122"/>
    <mergeCell ref="O120:O122"/>
    <mergeCell ref="N118:N127"/>
    <mergeCell ref="A123:A125"/>
    <mergeCell ref="O123:O125"/>
    <mergeCell ref="A126:A127"/>
    <mergeCell ref="B126:B127"/>
    <mergeCell ref="O126:O127"/>
    <mergeCell ref="A118:A119"/>
    <mergeCell ref="O118:O119"/>
    <mergeCell ref="N132:N135"/>
    <mergeCell ref="A129:A130"/>
    <mergeCell ref="B129:B130"/>
    <mergeCell ref="C129:C130"/>
    <mergeCell ref="O129:O130"/>
    <mergeCell ref="P129:P130"/>
    <mergeCell ref="Q129:Q130"/>
    <mergeCell ref="Q132:Q135"/>
    <mergeCell ref="A132:A135"/>
    <mergeCell ref="B132:B135"/>
    <mergeCell ref="C132:C135"/>
    <mergeCell ref="O132:O135"/>
    <mergeCell ref="P132:P135"/>
    <mergeCell ref="A153:A157"/>
    <mergeCell ref="B153:B157"/>
    <mergeCell ref="C153:C157"/>
    <mergeCell ref="O153:O157"/>
    <mergeCell ref="P153:P157"/>
    <mergeCell ref="Q153:Q157"/>
    <mergeCell ref="N169:N172"/>
    <mergeCell ref="N148:N165"/>
    <mergeCell ref="P160:P162"/>
    <mergeCell ref="Q160:Q162"/>
    <mergeCell ref="A169:A172"/>
    <mergeCell ref="B169:B172"/>
    <mergeCell ref="C169:C172"/>
    <mergeCell ref="O169:O172"/>
    <mergeCell ref="P169:P172"/>
    <mergeCell ref="Q169:Q172"/>
    <mergeCell ref="A148:A152"/>
    <mergeCell ref="B148:B152"/>
    <mergeCell ref="C148:C152"/>
    <mergeCell ref="O148:O152"/>
    <mergeCell ref="P148:P152"/>
    <mergeCell ref="Q148:Q152"/>
    <mergeCell ref="B160:B162"/>
    <mergeCell ref="A158:A159"/>
    <mergeCell ref="B158:B159"/>
    <mergeCell ref="O158:O159"/>
    <mergeCell ref="P158:P159"/>
    <mergeCell ref="C158:C159"/>
    <mergeCell ref="C160:C162"/>
    <mergeCell ref="Q158:Q159"/>
    <mergeCell ref="O160:O162"/>
    <mergeCell ref="C188:C189"/>
    <mergeCell ref="O188:O189"/>
    <mergeCell ref="P188:P189"/>
    <mergeCell ref="Q188:Q189"/>
    <mergeCell ref="O174:O177"/>
    <mergeCell ref="P174:P177"/>
    <mergeCell ref="Q174:Q177"/>
    <mergeCell ref="P163:P165"/>
    <mergeCell ref="Q163:Q165"/>
    <mergeCell ref="T188:T189"/>
    <mergeCell ref="N188:N189"/>
    <mergeCell ref="A180:A181"/>
    <mergeCell ref="B180:B181"/>
    <mergeCell ref="C180:C181"/>
    <mergeCell ref="O180:O181"/>
    <mergeCell ref="P180:P181"/>
    <mergeCell ref="Q180:Q181"/>
    <mergeCell ref="R180:R181"/>
    <mergeCell ref="S180:S181"/>
    <mergeCell ref="T180:T181"/>
    <mergeCell ref="N180:N181"/>
    <mergeCell ref="R188:R189"/>
    <mergeCell ref="S188:S189"/>
    <mergeCell ref="T174:T177"/>
    <mergeCell ref="S163:S165"/>
    <mergeCell ref="T163:T165"/>
    <mergeCell ref="S169:S172"/>
    <mergeCell ref="T169:T172"/>
    <mergeCell ref="R163:R165"/>
    <mergeCell ref="A188:A189"/>
    <mergeCell ref="B188:B189"/>
    <mergeCell ref="A195:A196"/>
    <mergeCell ref="O195:O196"/>
    <mergeCell ref="P195:P196"/>
    <mergeCell ref="Q195:Q196"/>
    <mergeCell ref="R195:R196"/>
    <mergeCell ref="S195:S196"/>
    <mergeCell ref="T195:T196"/>
    <mergeCell ref="B192:B194"/>
    <mergeCell ref="C192:C194"/>
    <mergeCell ref="O192:O194"/>
    <mergeCell ref="P192:P194"/>
    <mergeCell ref="Q192:Q194"/>
    <mergeCell ref="R192:R194"/>
    <mergeCell ref="S192:S194"/>
    <mergeCell ref="T192:T194"/>
    <mergeCell ref="N192:N194"/>
    <mergeCell ref="R174:R177"/>
    <mergeCell ref="S174:S177"/>
    <mergeCell ref="R169:R172"/>
    <mergeCell ref="O163:O165"/>
    <mergeCell ref="A197:A210"/>
    <mergeCell ref="N174:N177"/>
    <mergeCell ref="N129:N130"/>
    <mergeCell ref="A104:A106"/>
    <mergeCell ref="B104:B106"/>
    <mergeCell ref="C104:C106"/>
    <mergeCell ref="B205:D205"/>
    <mergeCell ref="B206:D206"/>
    <mergeCell ref="B207:D207"/>
    <mergeCell ref="B208:D208"/>
    <mergeCell ref="A192:A194"/>
    <mergeCell ref="A174:A177"/>
    <mergeCell ref="B174:B177"/>
    <mergeCell ref="C174:C177"/>
    <mergeCell ref="A163:A165"/>
    <mergeCell ref="B163:B165"/>
    <mergeCell ref="C163:C165"/>
    <mergeCell ref="A160:A162"/>
    <mergeCell ref="B197:D197"/>
    <mergeCell ref="C123:C125"/>
    <mergeCell ref="B123:B125"/>
    <mergeCell ref="C126:C127"/>
    <mergeCell ref="B195:B196"/>
    <mergeCell ref="N195:N196"/>
    <mergeCell ref="B209:D209"/>
    <mergeCell ref="B210:D210"/>
    <mergeCell ref="B198:D198"/>
    <mergeCell ref="B199:D199"/>
    <mergeCell ref="B200:D200"/>
    <mergeCell ref="B203:D203"/>
    <mergeCell ref="B204:D204"/>
    <mergeCell ref="B201:D201"/>
    <mergeCell ref="C195:C196"/>
    <mergeCell ref="V30:V33"/>
    <mergeCell ref="T34:T35"/>
    <mergeCell ref="U32:U33"/>
    <mergeCell ref="U34:U35"/>
    <mergeCell ref="V72:V76"/>
    <mergeCell ref="T96:T98"/>
    <mergeCell ref="T65:T66"/>
    <mergeCell ref="T74:T76"/>
    <mergeCell ref="T92:T94"/>
    <mergeCell ref="U92:U94"/>
    <mergeCell ref="V77:V94"/>
    <mergeCell ref="V45:V50"/>
    <mergeCell ref="T51:T52"/>
    <mergeCell ref="T48:T50"/>
    <mergeCell ref="T37:T38"/>
    <mergeCell ref="T39:T40"/>
    <mergeCell ref="U37:U38"/>
    <mergeCell ref="U39:U40"/>
    <mergeCell ref="T62:T64"/>
    <mergeCell ref="T82:T84"/>
    <mergeCell ref="T85:T86"/>
    <mergeCell ref="U67:U69"/>
    <mergeCell ref="U70:U71"/>
    <mergeCell ref="V113:V116"/>
    <mergeCell ref="U57:U58"/>
    <mergeCell ref="T89:T91"/>
    <mergeCell ref="U59:U61"/>
    <mergeCell ref="U62:U64"/>
    <mergeCell ref="U65:U66"/>
    <mergeCell ref="U74:U76"/>
    <mergeCell ref="T104:T106"/>
    <mergeCell ref="V37:V40"/>
    <mergeCell ref="U87:U88"/>
    <mergeCell ref="U89:U91"/>
    <mergeCell ref="U96:U98"/>
    <mergeCell ref="U104:U106"/>
    <mergeCell ref="V53:V71"/>
    <mergeCell ref="V96:V106"/>
    <mergeCell ref="T72:T73"/>
    <mergeCell ref="U77:U79"/>
    <mergeCell ref="U80:U81"/>
    <mergeCell ref="U82:U84"/>
    <mergeCell ref="U85:U86"/>
    <mergeCell ref="U72:U73"/>
    <mergeCell ref="U53:U54"/>
    <mergeCell ref="U55:U56"/>
    <mergeCell ref="T87:T88"/>
    <mergeCell ref="S129:S130"/>
    <mergeCell ref="T129:T130"/>
    <mergeCell ref="S158:S159"/>
    <mergeCell ref="S132:S135"/>
    <mergeCell ref="R129:R130"/>
    <mergeCell ref="R132:R135"/>
    <mergeCell ref="T132:T135"/>
    <mergeCell ref="S160:S162"/>
    <mergeCell ref="T160:T162"/>
    <mergeCell ref="R148:R152"/>
    <mergeCell ref="T115:T116"/>
    <mergeCell ref="T113:T114"/>
    <mergeCell ref="S118:S119"/>
    <mergeCell ref="T118:T119"/>
    <mergeCell ref="V132:V135"/>
    <mergeCell ref="V148:V165"/>
    <mergeCell ref="R160:R162"/>
    <mergeCell ref="R118:R119"/>
    <mergeCell ref="S153:S157"/>
    <mergeCell ref="T153:T157"/>
    <mergeCell ref="U153:U157"/>
    <mergeCell ref="T123:T125"/>
    <mergeCell ref="S126:S127"/>
    <mergeCell ref="T126:T127"/>
    <mergeCell ref="S120:S122"/>
    <mergeCell ref="T120:T122"/>
    <mergeCell ref="R120:R122"/>
    <mergeCell ref="V129:V130"/>
    <mergeCell ref="V118:V127"/>
    <mergeCell ref="S148:S152"/>
    <mergeCell ref="T148:T152"/>
    <mergeCell ref="R126:R127"/>
    <mergeCell ref="R158:R159"/>
    <mergeCell ref="T158:T159"/>
    <mergeCell ref="P126:P127"/>
    <mergeCell ref="Q126:Q127"/>
    <mergeCell ref="P118:P119"/>
    <mergeCell ref="Q118:Q119"/>
    <mergeCell ref="P123:P125"/>
    <mergeCell ref="R57:R58"/>
    <mergeCell ref="Q57:Q58"/>
    <mergeCell ref="P65:P66"/>
    <mergeCell ref="P55:P56"/>
    <mergeCell ref="P67:P69"/>
    <mergeCell ref="Q74:Q76"/>
    <mergeCell ref="Q67:Q69"/>
    <mergeCell ref="R67:R69"/>
    <mergeCell ref="Q92:Q94"/>
    <mergeCell ref="R92:R94"/>
    <mergeCell ref="Q113:Q114"/>
    <mergeCell ref="R82:R84"/>
    <mergeCell ref="Q62:Q64"/>
    <mergeCell ref="R62:R64"/>
    <mergeCell ref="P59:P61"/>
    <mergeCell ref="Q59:Q61"/>
    <mergeCell ref="R59:R61"/>
    <mergeCell ref="R113:R114"/>
    <mergeCell ref="T77:T79"/>
    <mergeCell ref="R80:R81"/>
    <mergeCell ref="S80:S81"/>
    <mergeCell ref="S96:S98"/>
    <mergeCell ref="T80:T81"/>
    <mergeCell ref="R89:R91"/>
    <mergeCell ref="S89:S91"/>
    <mergeCell ref="P74:P76"/>
    <mergeCell ref="R74:R75"/>
    <mergeCell ref="Q104:Q106"/>
    <mergeCell ref="S82:S84"/>
    <mergeCell ref="R104:R106"/>
    <mergeCell ref="R96:R98"/>
    <mergeCell ref="R85:R86"/>
    <mergeCell ref="S104:S106"/>
    <mergeCell ref="S85:S86"/>
    <mergeCell ref="R77:R79"/>
    <mergeCell ref="S77:S79"/>
    <mergeCell ref="N37:N40"/>
    <mergeCell ref="N16:N17"/>
    <mergeCell ref="O16:O17"/>
    <mergeCell ref="P16:P17"/>
    <mergeCell ref="S51:S52"/>
    <mergeCell ref="Q32:Q33"/>
    <mergeCell ref="Q34:Q35"/>
    <mergeCell ref="O48:O50"/>
    <mergeCell ref="P48:P50"/>
    <mergeCell ref="N45:N50"/>
    <mergeCell ref="N51:N52"/>
    <mergeCell ref="P45:P47"/>
    <mergeCell ref="O30:O31"/>
    <mergeCell ref="P34:P35"/>
    <mergeCell ref="O34:O35"/>
    <mergeCell ref="O37:O40"/>
    <mergeCell ref="P37:P40"/>
    <mergeCell ref="O45:O47"/>
    <mergeCell ref="O32:O33"/>
    <mergeCell ref="P32:P33"/>
    <mergeCell ref="P30:P31"/>
    <mergeCell ref="S45:S47"/>
    <mergeCell ref="Q51:Q52"/>
    <mergeCell ref="S67:S69"/>
    <mergeCell ref="O72:O73"/>
    <mergeCell ref="P72:P73"/>
    <mergeCell ref="T59:T61"/>
    <mergeCell ref="S65:S66"/>
    <mergeCell ref="T67:T69"/>
    <mergeCell ref="T70:T71"/>
    <mergeCell ref="O62:O64"/>
    <mergeCell ref="O67:O69"/>
    <mergeCell ref="O65:O66"/>
    <mergeCell ref="S62:S64"/>
    <mergeCell ref="S57:S58"/>
    <mergeCell ref="T57:T58"/>
    <mergeCell ref="P62:P64"/>
    <mergeCell ref="R72:R73"/>
    <mergeCell ref="S72:S73"/>
    <mergeCell ref="S59:S61"/>
    <mergeCell ref="O59:O61"/>
    <mergeCell ref="U180:U181"/>
    <mergeCell ref="U188:U189"/>
    <mergeCell ref="O51:O52"/>
    <mergeCell ref="U45:U47"/>
    <mergeCell ref="U48:U50"/>
    <mergeCell ref="U51:U52"/>
    <mergeCell ref="R16:U16"/>
    <mergeCell ref="R32:R33"/>
    <mergeCell ref="S32:S33"/>
    <mergeCell ref="T32:T33"/>
    <mergeCell ref="R34:R35"/>
    <mergeCell ref="T45:T47"/>
    <mergeCell ref="R51:R52"/>
    <mergeCell ref="R45:R47"/>
    <mergeCell ref="S34:S35"/>
    <mergeCell ref="Q37:Q38"/>
    <mergeCell ref="Q45:Q47"/>
    <mergeCell ref="Q48:Q50"/>
    <mergeCell ref="R48:R50"/>
    <mergeCell ref="S48:S50"/>
    <mergeCell ref="S37:S38"/>
    <mergeCell ref="Q39:Q40"/>
    <mergeCell ref="R39:R40"/>
    <mergeCell ref="S39:S40"/>
    <mergeCell ref="A13:L13"/>
    <mergeCell ref="B5:O5"/>
    <mergeCell ref="C45:C47"/>
    <mergeCell ref="B202:D202"/>
    <mergeCell ref="B4:L4"/>
    <mergeCell ref="B8:K8"/>
    <mergeCell ref="B9:K9"/>
    <mergeCell ref="A12:L12"/>
    <mergeCell ref="U192:U194"/>
    <mergeCell ref="U195:U196"/>
    <mergeCell ref="U113:U114"/>
    <mergeCell ref="U115:U116"/>
    <mergeCell ref="U118:U119"/>
    <mergeCell ref="U120:U122"/>
    <mergeCell ref="U123:U125"/>
    <mergeCell ref="U126:U127"/>
    <mergeCell ref="U129:U130"/>
    <mergeCell ref="U132:U135"/>
    <mergeCell ref="U148:U152"/>
    <mergeCell ref="U158:U159"/>
    <mergeCell ref="U160:U162"/>
    <mergeCell ref="U163:U165"/>
    <mergeCell ref="U169:U172"/>
    <mergeCell ref="U174:U177"/>
  </mergeCells>
  <conditionalFormatting sqref="E16:O16">
    <cfRule type="dataBar" priority="10">
      <dataBar>
        <cfvo type="min"/>
        <cfvo type="max"/>
        <color rgb="FF638EC6"/>
      </dataBar>
      <extLst>
        <ext xmlns:x14="http://schemas.microsoft.com/office/spreadsheetml/2009/9/main" uri="{B025F937-C7B1-47D3-B67F-A62EFF666E3E}">
          <x14:id>{DCB5C597-70A0-4956-A0D6-544419C84697}</x14:id>
        </ext>
      </extLst>
    </cfRule>
  </conditionalFormatting>
  <conditionalFormatting sqref="G17:H17 J17:M17">
    <cfRule type="dataBar" priority="1">
      <dataBar>
        <cfvo type="min"/>
        <cfvo type="max"/>
        <color rgb="FF638EC6"/>
      </dataBar>
      <extLst>
        <ext xmlns:x14="http://schemas.microsoft.com/office/spreadsheetml/2009/9/main" uri="{B025F937-C7B1-47D3-B67F-A62EFF666E3E}">
          <x14:id>{FDA0D415-FDFD-42FC-8E4B-A493A892B18A}</x14:id>
        </ext>
      </extLst>
    </cfRule>
  </conditionalFormatting>
  <pageMargins left="0.70866141732283472" right="0.70866141732283472" top="0.74803149606299213" bottom="0.74803149606299213" header="0.31496062992125984" footer="0.31496062992125984"/>
  <pageSetup paperSize="8" scale="63" fitToWidth="0" fitToHeight="0" pageOrder="overThenDown" orientation="landscape" r:id="rId1"/>
  <rowBreaks count="12" manualBreakCount="12">
    <brk id="248" max="16383" man="1"/>
    <brk id="252" max="16383" man="1"/>
    <brk id="256" max="16383" man="1"/>
    <brk id="263" max="16383" man="1"/>
    <brk id="267" max="16383" man="1"/>
    <brk id="270" max="16383" man="1"/>
    <brk id="275" max="16383" man="1"/>
    <brk id="280" max="16383" man="1"/>
    <brk id="284" max="16383" man="1"/>
    <brk id="288" max="16383" man="1"/>
    <brk id="294" max="16383" man="1"/>
    <brk id="298" max="16383" man="1"/>
  </rowBreaks>
  <extLst>
    <ext xmlns:x14="http://schemas.microsoft.com/office/spreadsheetml/2009/9/main" uri="{78C0D931-6437-407d-A8EE-F0AAD7539E65}">
      <x14:conditionalFormattings>
        <x14:conditionalFormatting xmlns:xm="http://schemas.microsoft.com/office/excel/2006/main">
          <x14:cfRule type="dataBar" id="{DCB5C597-70A0-4956-A0D6-544419C84697}">
            <x14:dataBar minLength="0" maxLength="100" border="1" negativeBarBorderColorSameAsPositive="0">
              <x14:cfvo type="autoMin"/>
              <x14:cfvo type="autoMax"/>
              <x14:borderColor rgb="FF638EC6"/>
              <x14:negativeFillColor rgb="FFFF0000"/>
              <x14:negativeBorderColor rgb="FFFF0000"/>
              <x14:axisColor rgb="FF000000"/>
            </x14:dataBar>
          </x14:cfRule>
          <xm:sqref>E16:O16</xm:sqref>
        </x14:conditionalFormatting>
        <x14:conditionalFormatting xmlns:xm="http://schemas.microsoft.com/office/excel/2006/main">
          <x14:cfRule type="dataBar" id="{FDA0D415-FDFD-42FC-8E4B-A493A892B18A}">
            <x14:dataBar minLength="0" maxLength="100" border="1" negativeBarBorderColorSameAsPositive="0">
              <x14:cfvo type="autoMin"/>
              <x14:cfvo type="autoMax"/>
              <x14:borderColor rgb="FF638EC6"/>
              <x14:negativeFillColor rgb="FFFF0000"/>
              <x14:negativeBorderColor rgb="FFFF0000"/>
              <x14:axisColor rgb="FF000000"/>
            </x14:dataBar>
          </x14:cfRule>
          <xm:sqref>G17:H17 J17:M17</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9E7FE-B2C4-481E-AFB2-F5535D568119}">
  <sheetPr>
    <pageSetUpPr fitToPage="1"/>
  </sheetPr>
  <dimension ref="A1:DZ1393"/>
  <sheetViews>
    <sheetView zoomScale="89" zoomScaleNormal="89" zoomScaleSheetLayoutView="84" workbookViewId="0">
      <selection activeCell="AB16" sqref="AB16"/>
    </sheetView>
  </sheetViews>
  <sheetFormatPr defaultColWidth="9.140625" defaultRowHeight="39" customHeight="1"/>
  <cols>
    <col min="1" max="1" width="15.42578125" style="295" customWidth="1"/>
    <col min="2" max="2" width="39.28515625" style="968" customWidth="1"/>
    <col min="3" max="3" width="4.28515625" style="295" customWidth="1"/>
    <col min="4" max="4" width="7.28515625" style="295" customWidth="1"/>
    <col min="5" max="6" width="10.7109375" style="359" hidden="1" customWidth="1"/>
    <col min="7" max="7" width="10.7109375" style="295" hidden="1" customWidth="1"/>
    <col min="8" max="9" width="19.5703125" style="295" hidden="1" customWidth="1"/>
    <col min="10" max="10" width="19.5703125" style="524" hidden="1" customWidth="1"/>
    <col min="11" max="11" width="18.7109375" style="295" customWidth="1"/>
    <col min="12" max="13" width="20.140625" style="295" customWidth="1"/>
    <col min="14" max="14" width="14.140625" style="1334" customWidth="1"/>
    <col min="15" max="15" width="80.28515625" style="295" customWidth="1"/>
    <col min="16" max="16" width="4" style="295" hidden="1" customWidth="1"/>
    <col min="17" max="17" width="12.85546875" style="295" customWidth="1"/>
    <col min="18" max="18" width="39.5703125" style="295" customWidth="1"/>
    <col min="19" max="19" width="6.28515625" style="295" hidden="1" customWidth="1"/>
    <col min="20" max="22" width="6.28515625" style="295" customWidth="1"/>
    <col min="23" max="23" width="29.42578125" style="295" customWidth="1"/>
    <col min="24" max="24" width="29.7109375" style="295" hidden="1" customWidth="1"/>
    <col min="25" max="25" width="44" style="295" customWidth="1"/>
    <col min="26" max="16384" width="9.140625" style="295"/>
  </cols>
  <sheetData>
    <row r="1" spans="1:23" ht="27" customHeight="1">
      <c r="A1" s="311" t="s">
        <v>2209</v>
      </c>
      <c r="B1" s="951"/>
      <c r="C1" s="103"/>
      <c r="D1" s="103"/>
      <c r="E1" s="103"/>
      <c r="F1" s="103"/>
      <c r="G1" s="103"/>
      <c r="H1" s="103"/>
      <c r="I1" s="103"/>
      <c r="J1" s="522"/>
      <c r="K1" s="103"/>
      <c r="L1" s="103"/>
      <c r="M1" s="103"/>
      <c r="N1" s="1249"/>
      <c r="O1" s="103"/>
      <c r="P1" s="103"/>
      <c r="Q1" s="103"/>
      <c r="R1" s="103"/>
      <c r="S1" s="103"/>
      <c r="T1" s="103"/>
      <c r="U1" s="103"/>
      <c r="V1" s="103"/>
      <c r="W1" s="103"/>
    </row>
    <row r="2" spans="1:23" ht="31.5" customHeight="1">
      <c r="A2" s="2474" t="s">
        <v>2789</v>
      </c>
      <c r="B2" s="2331"/>
      <c r="C2" s="2331"/>
      <c r="D2" s="2331"/>
      <c r="E2" s="2331"/>
      <c r="F2" s="2331"/>
      <c r="G2" s="2331"/>
      <c r="H2" s="2331"/>
      <c r="I2" s="2331"/>
      <c r="J2" s="2331"/>
      <c r="K2" s="2331"/>
      <c r="L2" s="2331"/>
      <c r="M2" s="2331"/>
      <c r="N2" s="2331"/>
      <c r="O2" s="2331"/>
      <c r="P2" s="2331"/>
      <c r="Q2" s="2331"/>
      <c r="R2" s="2331"/>
      <c r="S2" s="2331"/>
      <c r="T2" s="2331"/>
      <c r="U2" s="2331"/>
      <c r="V2" s="2331"/>
      <c r="W2" s="2331"/>
    </row>
    <row r="3" spans="1:23" ht="15.75" customHeight="1">
      <c r="A3" s="931"/>
      <c r="B3" s="103"/>
      <c r="C3" s="103"/>
      <c r="D3" s="103"/>
      <c r="E3" s="103"/>
      <c r="F3" s="103"/>
      <c r="G3" s="103"/>
      <c r="H3" s="103"/>
      <c r="I3" s="103"/>
      <c r="J3" s="103"/>
      <c r="K3" s="103"/>
      <c r="L3" s="103"/>
      <c r="M3" s="103"/>
      <c r="N3" s="1249"/>
      <c r="O3" s="103"/>
      <c r="P3" s="103"/>
      <c r="Q3" s="103"/>
      <c r="R3" s="103"/>
      <c r="S3" s="103"/>
      <c r="T3" s="103"/>
      <c r="U3" s="103"/>
      <c r="V3" s="103"/>
      <c r="W3" s="103"/>
    </row>
    <row r="4" spans="1:23" s="236" customFormat="1" ht="18" customHeight="1">
      <c r="A4" s="236" t="str">
        <f>A15</f>
        <v>02.01.01. (T)</v>
      </c>
      <c r="B4" s="2332" t="str">
        <f>B15</f>
        <v>Sudaryti sąlygas  ugdyti vaikus ikimokyklinio, bendrojo ugdymo ir neformalaus švietimo įstaigose pagal patvirtintas ugdymo programas, teikti pedagoginę, psichologinę, metodinę, aprūpinimo transportu ir kitą pagalbą mokiniams, mokytojams ir mokykloms</v>
      </c>
      <c r="C4" s="2332"/>
      <c r="D4" s="2332"/>
      <c r="E4" s="2332"/>
      <c r="F4" s="2332"/>
      <c r="G4" s="2332"/>
      <c r="H4" s="2332"/>
      <c r="I4" s="2332"/>
      <c r="J4" s="2332"/>
      <c r="K4" s="2332"/>
      <c r="L4" s="2332"/>
      <c r="M4" s="2332"/>
      <c r="N4" s="2332"/>
      <c r="O4" s="2332"/>
    </row>
    <row r="5" spans="1:23" s="236" customFormat="1" ht="13.5" customHeight="1">
      <c r="A5" s="236" t="str">
        <f>A161</f>
        <v>02.01.02. (T)</v>
      </c>
      <c r="B5" s="2332" t="str">
        <f>B161</f>
        <v>Įgyvendinti priemones turinčias įtakos, ugdymo proceso kokybei, skirtas tęstiniam mokymuisi</v>
      </c>
      <c r="C5" s="2332"/>
      <c r="D5" s="2332"/>
      <c r="E5" s="2332"/>
      <c r="F5" s="2332"/>
      <c r="G5" s="2332"/>
      <c r="H5" s="2332"/>
      <c r="I5" s="2332"/>
      <c r="J5" s="2332"/>
      <c r="K5" s="2332"/>
      <c r="L5" s="2332"/>
      <c r="M5" s="2332"/>
      <c r="N5" s="2332"/>
      <c r="O5" s="2332"/>
      <c r="P5" s="2332"/>
      <c r="Q5" s="2332"/>
      <c r="R5" s="2332"/>
    </row>
    <row r="6" spans="1:23" s="236" customFormat="1" ht="18.75" customHeight="1">
      <c r="A6" s="312" t="str">
        <f>A245</f>
        <v>02.01.03. (P)</v>
      </c>
      <c r="B6" s="2332" t="str">
        <f>B245</f>
        <v>Sukurti įtraukias, tinklaveiką ir 
socialines inovacijas skatinančias, kiekvieno mokinio geresnius pasiekimus lemiančias ir šiuolaikiškas kokybiško ugdymo(si) sąlygas</v>
      </c>
      <c r="C6" s="2332"/>
      <c r="D6" s="2332"/>
      <c r="E6" s="2332"/>
      <c r="F6" s="2332"/>
      <c r="G6" s="2332"/>
      <c r="H6" s="2332"/>
      <c r="I6" s="2332"/>
      <c r="J6" s="2332"/>
      <c r="K6" s="2332"/>
      <c r="L6" s="2332"/>
      <c r="M6" s="2332"/>
      <c r="N6" s="2332"/>
      <c r="O6" s="2332"/>
      <c r="P6" s="2332"/>
      <c r="Q6" s="2332"/>
      <c r="R6" s="2332"/>
    </row>
    <row r="7" spans="1:23" s="236" customFormat="1" ht="15" customHeight="1">
      <c r="A7" s="312" t="str">
        <f>A331</f>
        <v>02.02.01. (T)</v>
      </c>
      <c r="B7" s="2332" t="str">
        <f>B331</f>
        <v>Didinti vaikų ir jaunimo socioedukacinių veiklų, socialiai prasmingo užimtumo, profesinio mokymo, saviraiškos bei švietimo pagalbos įvairovę ir prieinamumą</v>
      </c>
      <c r="C7" s="2332"/>
      <c r="D7" s="2332"/>
      <c r="E7" s="2332"/>
      <c r="F7" s="2332"/>
      <c r="G7" s="2332"/>
      <c r="H7" s="2332"/>
      <c r="I7" s="2332"/>
      <c r="J7" s="2332"/>
      <c r="K7" s="2332"/>
      <c r="L7" s="2332"/>
      <c r="M7" s="2332"/>
      <c r="N7" s="2332"/>
      <c r="O7" s="2332"/>
    </row>
    <row r="8" spans="1:23" ht="15.75" customHeight="1">
      <c r="A8" s="103"/>
      <c r="B8" s="953"/>
      <c r="C8" s="103"/>
      <c r="D8" s="103"/>
      <c r="E8" s="103"/>
      <c r="F8" s="103"/>
      <c r="G8" s="103"/>
      <c r="H8" s="103"/>
      <c r="I8" s="103"/>
      <c r="J8" s="522"/>
      <c r="K8" s="103"/>
      <c r="L8" s="103"/>
      <c r="M8" s="103"/>
      <c r="N8" s="1249"/>
      <c r="O8" s="103"/>
      <c r="P8" s="103"/>
      <c r="Q8" s="103"/>
      <c r="R8" s="103"/>
      <c r="S8" s="103"/>
      <c r="T8" s="103"/>
      <c r="U8" s="103"/>
      <c r="V8" s="103"/>
      <c r="W8" s="103"/>
    </row>
    <row r="9" spans="1:23" ht="24.75" customHeight="1">
      <c r="A9" s="103" t="s">
        <v>3098</v>
      </c>
      <c r="B9" s="101"/>
      <c r="C9" s="2473"/>
      <c r="D9" s="2473"/>
      <c r="E9" s="2473"/>
      <c r="F9" s="2473"/>
      <c r="G9" s="2473"/>
      <c r="H9" s="2473"/>
      <c r="I9" s="2473"/>
      <c r="J9" s="2473"/>
      <c r="K9" s="2473"/>
      <c r="L9" s="2473"/>
      <c r="M9" s="2473"/>
      <c r="N9" s="2473"/>
      <c r="O9" s="2473"/>
      <c r="P9" s="103"/>
      <c r="Q9" s="103"/>
      <c r="R9" s="103"/>
      <c r="S9" s="103"/>
      <c r="T9" s="103"/>
      <c r="U9" s="103"/>
      <c r="V9" s="103"/>
      <c r="W9" s="103"/>
    </row>
    <row r="10" spans="1:23" ht="24.75" customHeight="1">
      <c r="A10" s="2474" t="s">
        <v>4234</v>
      </c>
      <c r="B10" s="2474"/>
      <c r="C10" s="2474"/>
      <c r="D10" s="2474"/>
      <c r="E10" s="2474"/>
      <c r="F10" s="2474"/>
      <c r="G10" s="2474"/>
      <c r="H10" s="2474"/>
      <c r="I10" s="2474"/>
      <c r="J10" s="2474"/>
      <c r="K10" s="2474"/>
      <c r="L10" s="2474"/>
      <c r="M10" s="2474"/>
      <c r="N10" s="2474"/>
      <c r="O10" s="2474"/>
      <c r="P10" s="103"/>
      <c r="Q10" s="103"/>
      <c r="R10" s="103"/>
      <c r="S10" s="103"/>
      <c r="T10" s="103"/>
      <c r="U10" s="103"/>
      <c r="V10" s="103"/>
      <c r="W10" s="103"/>
    </row>
    <row r="11" spans="1:23" ht="39" hidden="1" customHeight="1">
      <c r="A11" s="305"/>
      <c r="B11" s="951"/>
      <c r="C11" s="103"/>
      <c r="D11" s="103"/>
      <c r="E11" s="103"/>
      <c r="F11" s="103"/>
      <c r="G11" s="103"/>
      <c r="H11" s="103"/>
      <c r="I11" s="103"/>
      <c r="J11" s="522"/>
      <c r="K11" s="103"/>
      <c r="L11" s="103"/>
      <c r="M11" s="103"/>
      <c r="N11" s="1249"/>
      <c r="O11" s="103"/>
      <c r="P11" s="103"/>
      <c r="Q11" s="103"/>
      <c r="R11" s="103"/>
      <c r="S11" s="103"/>
      <c r="T11" s="103"/>
      <c r="U11" s="103"/>
      <c r="V11" s="103"/>
      <c r="W11" s="103"/>
    </row>
    <row r="12" spans="1:23" ht="20.25" customHeight="1">
      <c r="A12" s="236" t="s">
        <v>4181</v>
      </c>
      <c r="B12" s="1324"/>
      <c r="C12" s="399"/>
      <c r="D12" s="399"/>
      <c r="E12" s="399"/>
      <c r="F12" s="399"/>
      <c r="G12" s="399"/>
      <c r="H12" s="399"/>
      <c r="I12" s="399"/>
      <c r="J12" s="606"/>
      <c r="K12" s="236"/>
      <c r="L12" s="304"/>
      <c r="M12" s="304"/>
      <c r="N12" s="1325"/>
      <c r="O12" s="103"/>
      <c r="P12" s="313"/>
      <c r="Q12" s="2480"/>
      <c r="R12" s="2480"/>
      <c r="S12" s="2480"/>
      <c r="T12" s="2480"/>
      <c r="U12" s="313"/>
      <c r="V12" s="313"/>
      <c r="W12" s="103"/>
    </row>
    <row r="13" spans="1:23" s="314" customFormat="1" ht="39" customHeight="1">
      <c r="A13" s="2481" t="s">
        <v>730</v>
      </c>
      <c r="B13" s="2483" t="s">
        <v>2013</v>
      </c>
      <c r="C13" s="2449" t="s">
        <v>1072</v>
      </c>
      <c r="D13" s="2449" t="s">
        <v>1073</v>
      </c>
      <c r="E13" s="2445" t="s">
        <v>1091</v>
      </c>
      <c r="F13" s="2445" t="s">
        <v>1186</v>
      </c>
      <c r="G13" s="2625" t="s">
        <v>2480</v>
      </c>
      <c r="H13" s="2637" t="s">
        <v>2163</v>
      </c>
      <c r="I13" s="2445" t="s">
        <v>3099</v>
      </c>
      <c r="J13" s="2445" t="s">
        <v>3100</v>
      </c>
      <c r="K13" s="2359" t="s">
        <v>2029</v>
      </c>
      <c r="L13" s="2359" t="s">
        <v>2031</v>
      </c>
      <c r="M13" s="2359" t="s">
        <v>3097</v>
      </c>
      <c r="N13" s="2489" t="s">
        <v>2052</v>
      </c>
      <c r="O13" s="2489" t="s">
        <v>2911</v>
      </c>
      <c r="P13" s="2488"/>
      <c r="Q13" s="2536" t="s">
        <v>731</v>
      </c>
      <c r="R13" s="2536" t="s">
        <v>1093</v>
      </c>
      <c r="S13" s="2351" t="s">
        <v>732</v>
      </c>
      <c r="T13" s="2352"/>
      <c r="U13" s="2352"/>
      <c r="V13" s="2353"/>
      <c r="W13" s="2488" t="s">
        <v>733</v>
      </c>
    </row>
    <row r="14" spans="1:23" s="314" customFormat="1" ht="39" customHeight="1">
      <c r="A14" s="2482"/>
      <c r="B14" s="2484"/>
      <c r="C14" s="2450"/>
      <c r="D14" s="2450"/>
      <c r="E14" s="2446"/>
      <c r="F14" s="2446"/>
      <c r="G14" s="2626"/>
      <c r="H14" s="2638"/>
      <c r="I14" s="2446"/>
      <c r="J14" s="2446"/>
      <c r="K14" s="2360"/>
      <c r="L14" s="2360"/>
      <c r="M14" s="2360"/>
      <c r="N14" s="2476"/>
      <c r="O14" s="2489"/>
      <c r="P14" s="2488"/>
      <c r="Q14" s="2536"/>
      <c r="R14" s="2536"/>
      <c r="S14" s="209">
        <v>2024</v>
      </c>
      <c r="T14" s="209">
        <v>2025</v>
      </c>
      <c r="U14" s="209">
        <v>2026</v>
      </c>
      <c r="V14" s="455">
        <v>2027</v>
      </c>
      <c r="W14" s="2488"/>
    </row>
    <row r="15" spans="1:23" ht="87.75" customHeight="1">
      <c r="A15" s="202" t="s">
        <v>2054</v>
      </c>
      <c r="B15" s="954" t="s">
        <v>4195</v>
      </c>
      <c r="C15" s="202"/>
      <c r="D15" s="202"/>
      <c r="E15" s="202">
        <f>SUM(E21,E84)</f>
        <v>14896.321999999998</v>
      </c>
      <c r="F15" s="315">
        <f>(H15-E15)/E15</f>
        <v>2.9956589284254223E-2</v>
      </c>
      <c r="G15" s="202">
        <f>SUM(G21,G84)</f>
        <v>14280.704000000002</v>
      </c>
      <c r="H15" s="316">
        <f>SUM(H21,H84)</f>
        <v>15342.564999999999</v>
      </c>
      <c r="I15" s="316"/>
      <c r="J15" s="364"/>
      <c r="K15" s="316">
        <f>SUM(K21,K84)</f>
        <v>18501.633999999998</v>
      </c>
      <c r="L15" s="316">
        <f t="shared" ref="L15:M15" si="0">SUM(L21,L84)</f>
        <v>19354.747000000003</v>
      </c>
      <c r="M15" s="316">
        <f t="shared" si="0"/>
        <v>20358.335999999999</v>
      </c>
      <c r="N15" s="177" t="s">
        <v>859</v>
      </c>
      <c r="O15" s="202"/>
      <c r="P15" s="2488"/>
      <c r="Q15" s="317" t="s">
        <v>1836</v>
      </c>
      <c r="R15" s="969" t="s">
        <v>4061</v>
      </c>
      <c r="S15" s="317">
        <v>34</v>
      </c>
      <c r="T15" s="317">
        <v>34</v>
      </c>
      <c r="U15" s="452">
        <v>34</v>
      </c>
      <c r="V15" s="452">
        <v>34</v>
      </c>
      <c r="W15" s="2477" t="s">
        <v>2287</v>
      </c>
    </row>
    <row r="16" spans="1:23" ht="39" customHeight="1">
      <c r="A16" s="2561" t="s">
        <v>2039</v>
      </c>
      <c r="B16" s="2617" t="s">
        <v>1113</v>
      </c>
      <c r="C16" s="2620" t="s">
        <v>1080</v>
      </c>
      <c r="D16" s="319" t="s">
        <v>471</v>
      </c>
      <c r="E16" s="225">
        <f>SUM(E22,E26,E31,E36,E41,E46,E51,E55,E60,E66,E71,E75)</f>
        <v>5936.5099999999993</v>
      </c>
      <c r="F16" s="318">
        <f>H16/E16-1</f>
        <v>-0.13804575415521902</v>
      </c>
      <c r="G16" s="225">
        <f>SUM(G22,G26,G31,G36,G41,G46,G51,G55,G60,G66,G71,G75)</f>
        <v>4657.0030000000006</v>
      </c>
      <c r="H16" s="225">
        <f>SUM(H22,H26,H31,H36,H41,H46,H51,H55,H60,H66,H71,H75)</f>
        <v>5117</v>
      </c>
      <c r="I16" s="510">
        <f>K16/H16-1</f>
        <v>0.29691616181356251</v>
      </c>
      <c r="J16" s="230">
        <f>SUM(J22,J26,J31,J36,J41,J46,J51,J55,J60,J66,J71,J75)</f>
        <v>5557.47</v>
      </c>
      <c r="K16" s="225">
        <f>SUM(K22,K26,K31,K36,K41,K46,K51,K55,K60,K66,K71,K75)</f>
        <v>6636.3199999999988</v>
      </c>
      <c r="L16" s="225">
        <f t="shared" ref="L16:M16" si="1">SUM(L22,L26,L31,L36,L41,L46,L51,L55,L60,L66,L71,L75)</f>
        <v>6659.420000000001</v>
      </c>
      <c r="M16" s="225">
        <f t="shared" si="1"/>
        <v>6973.6989999999996</v>
      </c>
      <c r="N16" s="2485" t="s">
        <v>2270</v>
      </c>
      <c r="O16" s="2395" t="s">
        <v>4251</v>
      </c>
      <c r="P16" s="2488"/>
      <c r="Q16" s="2475" t="s">
        <v>1655</v>
      </c>
      <c r="R16" s="2342" t="s">
        <v>2991</v>
      </c>
      <c r="S16" s="2475" t="s">
        <v>578</v>
      </c>
      <c r="T16" s="2475" t="s">
        <v>578</v>
      </c>
      <c r="U16" s="2475" t="s">
        <v>578</v>
      </c>
      <c r="V16" s="2506" t="s">
        <v>578</v>
      </c>
      <c r="W16" s="2478"/>
    </row>
    <row r="17" spans="1:23" ht="30.75" customHeight="1">
      <c r="A17" s="2561"/>
      <c r="B17" s="2617"/>
      <c r="C17" s="2620"/>
      <c r="D17" s="319" t="s">
        <v>1079</v>
      </c>
      <c r="E17" s="225">
        <f>SUM(E23,E27,E32,E37,E42,E47,E52,E56,E61,E67,E72,E76)</f>
        <v>774.452</v>
      </c>
      <c r="F17" s="318">
        <f t="shared" ref="F17:F21" si="2">H17/E17-1</f>
        <v>4.6933831922443492E-2</v>
      </c>
      <c r="G17" s="225">
        <f>SUM(G23,G27,G32,G37,G42,G47,G52,G56,G61,G67,G72,G76)</f>
        <v>804.84500000000003</v>
      </c>
      <c r="H17" s="225">
        <f>SUM(H23,H27,H32,H37,H42,H47,H52,H56,H61,H67,H72,H76)</f>
        <v>810.80000000000018</v>
      </c>
      <c r="I17" s="510">
        <f t="shared" ref="I17:I20" si="3">K17/H17-1</f>
        <v>-0.13579181055747425</v>
      </c>
      <c r="J17" s="230">
        <f>SUM(J23,J27,J32,J37,J42,J47,J52,J56,J61,J67,J72,J76)</f>
        <v>755.05000000000007</v>
      </c>
      <c r="K17" s="225">
        <f>SUM(K23,K27,K32,K37,K42,K47,K52,K56,K61,K67,K72,K76)</f>
        <v>700.7</v>
      </c>
      <c r="L17" s="225">
        <f>SUM(L23,L27,L32,L37,L42,L47,L52,L56,L61,L67,L72,L76)</f>
        <v>740.40000000000009</v>
      </c>
      <c r="M17" s="225">
        <f>SUM(M23,M27,M32,M37,M42,M47,M52,M56,M61,M67,M72,M76)</f>
        <v>780.59999999999991</v>
      </c>
      <c r="N17" s="2486"/>
      <c r="O17" s="2395"/>
      <c r="P17" s="2488"/>
      <c r="Q17" s="2475"/>
      <c r="R17" s="2342"/>
      <c r="S17" s="2475"/>
      <c r="T17" s="2475"/>
      <c r="U17" s="2475"/>
      <c r="V17" s="2506"/>
      <c r="W17" s="2478"/>
    </row>
    <row r="18" spans="1:23" ht="28.5" customHeight="1">
      <c r="A18" s="2561"/>
      <c r="B18" s="2617"/>
      <c r="C18" s="2620"/>
      <c r="D18" s="319" t="s">
        <v>3026</v>
      </c>
      <c r="E18" s="225"/>
      <c r="F18" s="318"/>
      <c r="G18" s="225"/>
      <c r="H18" s="225">
        <f>SUM(H28,H38,H48,H57,H62,H68,)</f>
        <v>13.554000000000002</v>
      </c>
      <c r="I18" s="510">
        <f>K18/H18-1</f>
        <v>1.1464512321086024</v>
      </c>
      <c r="J18" s="230">
        <f t="shared" ref="J18" si="4">SUM(J28,J38,J48,J57,J62,J68,)</f>
        <v>0</v>
      </c>
      <c r="K18" s="225">
        <f>SUM(K28,K38,K48,K57,K62,K68,K33,K43,)</f>
        <v>29.093</v>
      </c>
      <c r="L18" s="225">
        <f t="shared" ref="L18:M18" si="5">SUM(L28,L38,L48,L57,L62,L68,L33,L43,)</f>
        <v>0</v>
      </c>
      <c r="M18" s="225">
        <f t="shared" si="5"/>
        <v>0</v>
      </c>
      <c r="N18" s="2486"/>
      <c r="O18" s="2395"/>
      <c r="P18" s="2488"/>
      <c r="Q18" s="2475"/>
      <c r="R18" s="2342"/>
      <c r="S18" s="2475"/>
      <c r="T18" s="2475"/>
      <c r="U18" s="2475"/>
      <c r="V18" s="2506"/>
      <c r="W18" s="2478"/>
    </row>
    <row r="19" spans="1:23" ht="27.75" customHeight="1">
      <c r="A19" s="2561"/>
      <c r="B19" s="2617"/>
      <c r="C19" s="2620"/>
      <c r="D19" s="319" t="s">
        <v>1122</v>
      </c>
      <c r="E19" s="225">
        <f>SUM(E24,E29,E34,E39,E44,E49,E53,E58,E63,E69,E73,E77)</f>
        <v>35</v>
      </c>
      <c r="F19" s="318">
        <f t="shared" si="2"/>
        <v>-1</v>
      </c>
      <c r="G19" s="225">
        <f>SUM(G24,G29,G34,G39,G44,G49,G53,G58,G63,G69,G73,G77)</f>
        <v>36.332999999999998</v>
      </c>
      <c r="H19" s="225">
        <v>0</v>
      </c>
      <c r="I19" s="510"/>
      <c r="J19" s="230"/>
      <c r="K19" s="225"/>
      <c r="L19" s="225"/>
      <c r="M19" s="225"/>
      <c r="N19" s="2486"/>
      <c r="O19" s="2395"/>
      <c r="P19" s="2488"/>
      <c r="Q19" s="2475"/>
      <c r="R19" s="2342"/>
      <c r="S19" s="2475"/>
      <c r="T19" s="2475"/>
      <c r="U19" s="2475"/>
      <c r="V19" s="2506"/>
      <c r="W19" s="2478"/>
    </row>
    <row r="20" spans="1:23" ht="27.75" customHeight="1">
      <c r="A20" s="2561"/>
      <c r="B20" s="2617"/>
      <c r="C20" s="2620"/>
      <c r="D20" s="319" t="s">
        <v>712</v>
      </c>
      <c r="E20" s="225"/>
      <c r="F20" s="318"/>
      <c r="G20" s="225">
        <f>G77</f>
        <v>0.33300000000000002</v>
      </c>
      <c r="H20" s="225">
        <f t="shared" ref="H20" si="6">H77</f>
        <v>0.33300000000000002</v>
      </c>
      <c r="I20" s="510">
        <f t="shared" si="3"/>
        <v>10.984984984984985</v>
      </c>
      <c r="J20" s="230">
        <f>SUM(J24,J29,J34,J39,J44,J49,J53,J58,J64,J69,J73,J77,)</f>
        <v>3.9910000000000001</v>
      </c>
      <c r="K20" s="225">
        <f>SUM(K24,K29,K34,K39,K44,K49,K53,K58,K64,K69,K73,K77,)</f>
        <v>3.9910000000000001</v>
      </c>
      <c r="L20" s="225">
        <f t="shared" ref="L20:M20" si="7">SUM(L24,L29,L34,L39,L44,L49,L53,L58,L64,L69,L73,L77,)</f>
        <v>4.07</v>
      </c>
      <c r="M20" s="225">
        <f t="shared" si="7"/>
        <v>4.07</v>
      </c>
      <c r="N20" s="2486"/>
      <c r="O20" s="2395"/>
      <c r="P20" s="2488"/>
      <c r="Q20" s="2475"/>
      <c r="R20" s="2342"/>
      <c r="S20" s="2475"/>
      <c r="T20" s="2475"/>
      <c r="U20" s="2475"/>
      <c r="V20" s="2506"/>
      <c r="W20" s="2478"/>
    </row>
    <row r="21" spans="1:23" ht="39" customHeight="1">
      <c r="A21" s="2562"/>
      <c r="B21" s="2355"/>
      <c r="C21" s="2621"/>
      <c r="D21" s="320" t="s">
        <v>1121</v>
      </c>
      <c r="E21" s="224">
        <f>SUM(E16:E20)</f>
        <v>6745.9619999999995</v>
      </c>
      <c r="F21" s="321">
        <f t="shared" si="2"/>
        <v>-0.11922317380382508</v>
      </c>
      <c r="G21" s="224">
        <f>SUM(G16:G20)</f>
        <v>5498.5140000000001</v>
      </c>
      <c r="H21" s="224">
        <f>SUM(H16:H20)</f>
        <v>5941.6869999999999</v>
      </c>
      <c r="I21" s="526">
        <f>K21/H21-1</f>
        <v>0.24040596551114168</v>
      </c>
      <c r="J21" s="273">
        <f t="shared" ref="J21" si="8">SUM(J16:J20)</f>
        <v>6316.5110000000004</v>
      </c>
      <c r="K21" s="224">
        <f>SUM(K16:K20)</f>
        <v>7370.1039999999985</v>
      </c>
      <c r="L21" s="224">
        <f t="shared" ref="L21:M21" si="9">SUM(L16:L20)</f>
        <v>7403.8900000000012</v>
      </c>
      <c r="M21" s="224">
        <f t="shared" si="9"/>
        <v>7758.3689999999988</v>
      </c>
      <c r="N21" s="2486"/>
      <c r="O21" s="2395"/>
      <c r="P21" s="2488"/>
      <c r="Q21" s="2475"/>
      <c r="R21" s="2342"/>
      <c r="S21" s="2475"/>
      <c r="T21" s="2475"/>
      <c r="U21" s="2475"/>
      <c r="V21" s="2506"/>
      <c r="W21" s="2478"/>
    </row>
    <row r="22" spans="1:23" ht="39" hidden="1" customHeight="1">
      <c r="A22" s="2556"/>
      <c r="B22" s="2549" t="s">
        <v>1114</v>
      </c>
      <c r="C22" s="2537" t="s">
        <v>1667</v>
      </c>
      <c r="D22" s="530" t="s">
        <v>471</v>
      </c>
      <c r="E22" s="531">
        <v>482.56</v>
      </c>
      <c r="F22" s="532"/>
      <c r="G22" s="513">
        <v>401.17500000000001</v>
      </c>
      <c r="H22" s="513">
        <f>506.28-0.08</f>
        <v>506.2</v>
      </c>
      <c r="I22" s="513"/>
      <c r="J22" s="515">
        <v>578.95000000000005</v>
      </c>
      <c r="K22" s="831">
        <v>513.92999999999995</v>
      </c>
      <c r="L22" s="831">
        <v>515.71</v>
      </c>
      <c r="M22" s="831">
        <v>540.08000000000004</v>
      </c>
      <c r="N22" s="2486"/>
      <c r="O22" s="2528"/>
      <c r="P22" s="2488"/>
      <c r="Q22" s="2530"/>
      <c r="R22" s="2534"/>
      <c r="S22" s="2527"/>
      <c r="T22" s="2527"/>
      <c r="U22" s="2535"/>
      <c r="V22" s="449"/>
      <c r="W22" s="2478"/>
    </row>
    <row r="23" spans="1:23" ht="39" hidden="1" customHeight="1">
      <c r="A23" s="2557"/>
      <c r="B23" s="2539"/>
      <c r="C23" s="2537"/>
      <c r="D23" s="530" t="s">
        <v>1079</v>
      </c>
      <c r="E23" s="531">
        <f>92.3+0.865</f>
        <v>93.164999999999992</v>
      </c>
      <c r="F23" s="532"/>
      <c r="G23" s="513">
        <v>81.599999999999994</v>
      </c>
      <c r="H23" s="513">
        <v>98.4</v>
      </c>
      <c r="I23" s="513"/>
      <c r="J23" s="515">
        <v>85.2</v>
      </c>
      <c r="K23" s="513">
        <v>81.900000000000006</v>
      </c>
      <c r="L23" s="513">
        <v>91.8</v>
      </c>
      <c r="M23" s="513">
        <v>99</v>
      </c>
      <c r="N23" s="2486"/>
      <c r="O23" s="2528"/>
      <c r="P23" s="2488"/>
      <c r="Q23" s="2530"/>
      <c r="R23" s="2534"/>
      <c r="S23" s="2527"/>
      <c r="T23" s="2527"/>
      <c r="U23" s="2527"/>
      <c r="V23" s="449"/>
      <c r="W23" s="2478"/>
    </row>
    <row r="24" spans="1:23" ht="39" hidden="1" customHeight="1">
      <c r="A24" s="2557"/>
      <c r="B24" s="2539"/>
      <c r="C24" s="2537"/>
      <c r="D24" s="530" t="s">
        <v>712</v>
      </c>
      <c r="E24" s="513"/>
      <c r="F24" s="532"/>
      <c r="G24" s="513"/>
      <c r="H24" s="533"/>
      <c r="I24" s="533"/>
      <c r="J24" s="515">
        <v>0.621</v>
      </c>
      <c r="K24" s="513">
        <v>0.621</v>
      </c>
      <c r="L24" s="513">
        <v>0.7</v>
      </c>
      <c r="M24" s="513">
        <v>0.7</v>
      </c>
      <c r="N24" s="2486"/>
      <c r="O24" s="2528"/>
      <c r="P24" s="2488"/>
      <c r="Q24" s="2530"/>
      <c r="R24" s="2534"/>
      <c r="S24" s="2527"/>
      <c r="T24" s="2527"/>
      <c r="U24" s="2527"/>
      <c r="V24" s="449"/>
      <c r="W24" s="2478"/>
    </row>
    <row r="25" spans="1:23" ht="39" hidden="1" customHeight="1">
      <c r="A25" s="2557"/>
      <c r="B25" s="2540"/>
      <c r="C25" s="2537"/>
      <c r="D25" s="735" t="s">
        <v>1121</v>
      </c>
      <c r="E25" s="717">
        <f>SUM(E22:E24)</f>
        <v>575.72500000000002</v>
      </c>
      <c r="F25" s="716"/>
      <c r="G25" s="717">
        <f>SUM(G22:G24)</f>
        <v>482.77499999999998</v>
      </c>
      <c r="H25" s="717">
        <f>SUM(H22:H24)</f>
        <v>604.6</v>
      </c>
      <c r="I25" s="717"/>
      <c r="J25" s="718">
        <f>SUM(J22:J24)</f>
        <v>664.77100000000007</v>
      </c>
      <c r="K25" s="717">
        <f t="shared" ref="K25:M25" si="10">SUM(K22:K24)</f>
        <v>596.45099999999991</v>
      </c>
      <c r="L25" s="717">
        <f t="shared" si="10"/>
        <v>608.21</v>
      </c>
      <c r="M25" s="717">
        <f t="shared" si="10"/>
        <v>639.78000000000009</v>
      </c>
      <c r="N25" s="2486"/>
      <c r="O25" s="233"/>
      <c r="P25" s="2488"/>
      <c r="Q25" s="325"/>
      <c r="R25" s="324"/>
      <c r="S25" s="325"/>
      <c r="T25" s="325"/>
      <c r="U25" s="325"/>
      <c r="V25" s="449"/>
      <c r="W25" s="2478"/>
    </row>
    <row r="26" spans="1:23" ht="39" hidden="1" customHeight="1">
      <c r="A26" s="2557"/>
      <c r="B26" s="2538" t="s">
        <v>1115</v>
      </c>
      <c r="C26" s="2537" t="s">
        <v>1668</v>
      </c>
      <c r="D26" s="530" t="s">
        <v>471</v>
      </c>
      <c r="E26" s="514">
        <v>508.43</v>
      </c>
      <c r="F26" s="532"/>
      <c r="G26" s="514">
        <v>412.685</v>
      </c>
      <c r="H26" s="514">
        <f>576.08-0.1</f>
        <v>575.98</v>
      </c>
      <c r="I26" s="514"/>
      <c r="J26" s="534">
        <v>661.11599999999999</v>
      </c>
      <c r="K26" s="851">
        <v>635.16999999999996</v>
      </c>
      <c r="L26" s="851">
        <v>636.99</v>
      </c>
      <c r="M26" s="851">
        <v>667.49</v>
      </c>
      <c r="N26" s="2486"/>
      <c r="O26" s="2528"/>
      <c r="P26" s="2488"/>
      <c r="Q26" s="2530"/>
      <c r="R26" s="2534"/>
      <c r="S26" s="2527"/>
      <c r="T26" s="2527"/>
      <c r="U26" s="2527"/>
      <c r="V26" s="449"/>
      <c r="W26" s="2478"/>
    </row>
    <row r="27" spans="1:23" ht="39" hidden="1" customHeight="1">
      <c r="A27" s="2557"/>
      <c r="B27" s="2539"/>
      <c r="C27" s="2537"/>
      <c r="D27" s="530" t="s">
        <v>1079</v>
      </c>
      <c r="E27" s="514">
        <f>122.2+7.272</f>
        <v>129.47200000000001</v>
      </c>
      <c r="F27" s="532"/>
      <c r="G27" s="514">
        <v>133</v>
      </c>
      <c r="H27" s="514">
        <f>125.9</f>
        <v>125.9</v>
      </c>
      <c r="I27" s="514"/>
      <c r="J27" s="534">
        <v>148</v>
      </c>
      <c r="K27" s="514">
        <v>148</v>
      </c>
      <c r="L27" s="514">
        <v>159.80000000000001</v>
      </c>
      <c r="M27" s="514">
        <v>172.4</v>
      </c>
      <c r="N27" s="2486"/>
      <c r="O27" s="2529"/>
      <c r="P27" s="2488"/>
      <c r="Q27" s="2530"/>
      <c r="R27" s="2534"/>
      <c r="S27" s="2527"/>
      <c r="T27" s="2527"/>
      <c r="U27" s="2527"/>
      <c r="V27" s="449"/>
      <c r="W27" s="2478"/>
    </row>
    <row r="28" spans="1:23" ht="39" hidden="1" customHeight="1">
      <c r="A28" s="2557"/>
      <c r="B28" s="2539"/>
      <c r="C28" s="2537"/>
      <c r="D28" s="535" t="s">
        <v>3845</v>
      </c>
      <c r="E28" s="534"/>
      <c r="F28" s="536"/>
      <c r="G28" s="534"/>
      <c r="H28" s="534">
        <v>9.6470000000000002</v>
      </c>
      <c r="I28" s="534"/>
      <c r="J28" s="534"/>
      <c r="K28" s="514">
        <v>11.135</v>
      </c>
      <c r="L28" s="534"/>
      <c r="M28" s="534"/>
      <c r="N28" s="2486"/>
      <c r="O28" s="2529"/>
      <c r="P28" s="2488"/>
      <c r="Q28" s="2530"/>
      <c r="R28" s="2534"/>
      <c r="S28" s="2527"/>
      <c r="T28" s="2527"/>
      <c r="U28" s="2527"/>
      <c r="V28" s="449"/>
      <c r="W28" s="2478"/>
    </row>
    <row r="29" spans="1:23" ht="39" hidden="1" customHeight="1">
      <c r="A29" s="2557"/>
      <c r="B29" s="2539"/>
      <c r="C29" s="2537"/>
      <c r="D29" s="530" t="s">
        <v>712</v>
      </c>
      <c r="E29" s="513"/>
      <c r="F29" s="532"/>
      <c r="G29" s="513"/>
      <c r="H29" s="513"/>
      <c r="I29" s="513"/>
      <c r="J29" s="515"/>
      <c r="K29" s="513"/>
      <c r="L29" s="513"/>
      <c r="M29" s="513"/>
      <c r="N29" s="2486"/>
      <c r="O29" s="2529"/>
      <c r="P29" s="2488"/>
      <c r="Q29" s="2530"/>
      <c r="R29" s="2534"/>
      <c r="S29" s="2527"/>
      <c r="T29" s="2527"/>
      <c r="U29" s="2527"/>
      <c r="V29" s="449"/>
      <c r="W29" s="2478"/>
    </row>
    <row r="30" spans="1:23" ht="39" hidden="1" customHeight="1">
      <c r="A30" s="2557"/>
      <c r="B30" s="2540"/>
      <c r="C30" s="2537"/>
      <c r="D30" s="735" t="s">
        <v>1121</v>
      </c>
      <c r="E30" s="717">
        <f>SUM(E26:E29)</f>
        <v>637.90200000000004</v>
      </c>
      <c r="F30" s="716"/>
      <c r="G30" s="717">
        <f t="shared" ref="G30" si="11">SUM(G26:G29)</f>
        <v>545.68499999999995</v>
      </c>
      <c r="H30" s="717">
        <f t="shared" ref="H30:M30" si="12">SUM(H26:H29)</f>
        <v>711.52700000000004</v>
      </c>
      <c r="I30" s="717"/>
      <c r="J30" s="718">
        <f t="shared" si="12"/>
        <v>809.11599999999999</v>
      </c>
      <c r="K30" s="717">
        <f t="shared" si="12"/>
        <v>794.30499999999995</v>
      </c>
      <c r="L30" s="717">
        <f t="shared" si="12"/>
        <v>796.79</v>
      </c>
      <c r="M30" s="717">
        <f t="shared" si="12"/>
        <v>839.89</v>
      </c>
      <c r="N30" s="2486"/>
      <c r="O30" s="326"/>
      <c r="P30" s="2488"/>
      <c r="Q30" s="325"/>
      <c r="R30" s="324"/>
      <c r="S30" s="325"/>
      <c r="T30" s="325"/>
      <c r="U30" s="325"/>
      <c r="V30" s="449"/>
      <c r="W30" s="2478"/>
    </row>
    <row r="31" spans="1:23" ht="39" hidden="1" customHeight="1">
      <c r="A31" s="2557"/>
      <c r="B31" s="2538" t="s">
        <v>1116</v>
      </c>
      <c r="C31" s="2537" t="s">
        <v>1669</v>
      </c>
      <c r="D31" s="530" t="s">
        <v>471</v>
      </c>
      <c r="E31" s="514">
        <v>447.77</v>
      </c>
      <c r="F31" s="532"/>
      <c r="G31" s="514">
        <v>349.54</v>
      </c>
      <c r="H31" s="514">
        <v>487.73</v>
      </c>
      <c r="I31" s="514"/>
      <c r="J31" s="534">
        <v>503.17</v>
      </c>
      <c r="K31" s="851">
        <v>544.25</v>
      </c>
      <c r="L31" s="851">
        <v>545.95000000000005</v>
      </c>
      <c r="M31" s="851">
        <v>571.88</v>
      </c>
      <c r="N31" s="2486"/>
      <c r="O31" s="2528"/>
      <c r="P31" s="2488"/>
      <c r="Q31" s="2527"/>
      <c r="R31" s="2534"/>
      <c r="S31" s="2527"/>
      <c r="T31" s="2527"/>
      <c r="U31" s="2527"/>
      <c r="V31" s="449"/>
      <c r="W31" s="2478"/>
    </row>
    <row r="32" spans="1:23" ht="39" hidden="1" customHeight="1">
      <c r="A32" s="2557"/>
      <c r="B32" s="2539"/>
      <c r="C32" s="2537"/>
      <c r="D32" s="530" t="s">
        <v>1079</v>
      </c>
      <c r="E32" s="531">
        <f>96.7+2.28</f>
        <v>98.98</v>
      </c>
      <c r="F32" s="532"/>
      <c r="G32" s="514">
        <v>102.69</v>
      </c>
      <c r="H32" s="514">
        <v>104</v>
      </c>
      <c r="I32" s="514"/>
      <c r="J32" s="534">
        <v>100.1</v>
      </c>
      <c r="K32" s="514">
        <v>100.1</v>
      </c>
      <c r="L32" s="514">
        <v>108.6</v>
      </c>
      <c r="M32" s="514">
        <v>117.2</v>
      </c>
      <c r="N32" s="2486"/>
      <c r="O32" s="2529"/>
      <c r="P32" s="2488"/>
      <c r="Q32" s="2527"/>
      <c r="R32" s="2534"/>
      <c r="S32" s="2527"/>
      <c r="T32" s="2527"/>
      <c r="U32" s="2527"/>
      <c r="V32" s="449"/>
      <c r="W32" s="2478"/>
    </row>
    <row r="33" spans="1:23" ht="39" hidden="1" customHeight="1">
      <c r="A33" s="2557"/>
      <c r="B33" s="2539"/>
      <c r="C33" s="2537"/>
      <c r="D33" s="732" t="s">
        <v>3026</v>
      </c>
      <c r="E33" s="531"/>
      <c r="F33" s="532"/>
      <c r="G33" s="514"/>
      <c r="H33" s="514"/>
      <c r="I33" s="514"/>
      <c r="J33" s="534"/>
      <c r="K33" s="514">
        <v>9.0449999999999999</v>
      </c>
      <c r="L33" s="514"/>
      <c r="M33" s="514"/>
      <c r="N33" s="2486"/>
      <c r="O33" s="2529"/>
      <c r="P33" s="2488"/>
      <c r="Q33" s="2527"/>
      <c r="R33" s="2534"/>
      <c r="S33" s="2527"/>
      <c r="T33" s="2527"/>
      <c r="U33" s="2527"/>
      <c r="V33" s="449"/>
      <c r="W33" s="2478"/>
    </row>
    <row r="34" spans="1:23" ht="39" hidden="1" customHeight="1">
      <c r="A34" s="2557"/>
      <c r="B34" s="2539"/>
      <c r="C34" s="2537"/>
      <c r="D34" s="530" t="s">
        <v>712</v>
      </c>
      <c r="E34" s="513"/>
      <c r="F34" s="532"/>
      <c r="G34" s="513"/>
      <c r="H34" s="513"/>
      <c r="I34" s="513"/>
      <c r="J34" s="515"/>
      <c r="K34" s="513"/>
      <c r="L34" s="513"/>
      <c r="M34" s="513"/>
      <c r="N34" s="2486"/>
      <c r="O34" s="2529"/>
      <c r="P34" s="2488"/>
      <c r="Q34" s="2527"/>
      <c r="R34" s="2534"/>
      <c r="S34" s="2527"/>
      <c r="T34" s="2527"/>
      <c r="U34" s="2527"/>
      <c r="V34" s="449"/>
      <c r="W34" s="2478"/>
    </row>
    <row r="35" spans="1:23" ht="39" hidden="1" customHeight="1">
      <c r="A35" s="2557"/>
      <c r="B35" s="2540"/>
      <c r="C35" s="2537"/>
      <c r="D35" s="735" t="s">
        <v>1121</v>
      </c>
      <c r="E35" s="717">
        <f>SUM(E31:E34)</f>
        <v>546.75</v>
      </c>
      <c r="F35" s="716"/>
      <c r="G35" s="717">
        <f t="shared" ref="G35" si="13">SUM(G31:G34)</f>
        <v>452.23</v>
      </c>
      <c r="H35" s="717">
        <f t="shared" ref="H35:M35" si="14">SUM(H31:H34)</f>
        <v>591.73</v>
      </c>
      <c r="I35" s="717">
        <f t="shared" si="14"/>
        <v>0</v>
      </c>
      <c r="J35" s="718">
        <f t="shared" si="14"/>
        <v>603.27</v>
      </c>
      <c r="K35" s="717">
        <f t="shared" si="14"/>
        <v>653.39499999999998</v>
      </c>
      <c r="L35" s="717">
        <f t="shared" si="14"/>
        <v>654.55000000000007</v>
      </c>
      <c r="M35" s="717">
        <f t="shared" si="14"/>
        <v>689.08</v>
      </c>
      <c r="N35" s="2486"/>
      <c r="O35" s="2529"/>
      <c r="P35" s="2488"/>
      <c r="Q35" s="2527"/>
      <c r="R35" s="2534"/>
      <c r="S35" s="2527"/>
      <c r="T35" s="2527"/>
      <c r="U35" s="2527"/>
      <c r="V35" s="449"/>
      <c r="W35" s="2478"/>
    </row>
    <row r="36" spans="1:23" ht="39" hidden="1" customHeight="1">
      <c r="A36" s="2557"/>
      <c r="B36" s="2538" t="s">
        <v>1143</v>
      </c>
      <c r="C36" s="2537" t="s">
        <v>1670</v>
      </c>
      <c r="D36" s="530" t="s">
        <v>471</v>
      </c>
      <c r="E36" s="514">
        <v>447.55</v>
      </c>
      <c r="F36" s="532"/>
      <c r="G36" s="514">
        <v>337.88</v>
      </c>
      <c r="H36" s="514">
        <f>469.53-1</f>
        <v>468.53</v>
      </c>
      <c r="I36" s="514"/>
      <c r="J36" s="534">
        <v>489.54199999999997</v>
      </c>
      <c r="K36" s="851">
        <v>487.26</v>
      </c>
      <c r="L36" s="851">
        <v>488.85</v>
      </c>
      <c r="M36" s="851">
        <v>512</v>
      </c>
      <c r="N36" s="2486"/>
      <c r="O36" s="2528"/>
      <c r="P36" s="2488"/>
      <c r="Q36" s="2527"/>
      <c r="R36" s="2534"/>
      <c r="S36" s="2527"/>
      <c r="T36" s="2527"/>
      <c r="U36" s="2527"/>
      <c r="V36" s="449"/>
      <c r="W36" s="2478"/>
    </row>
    <row r="37" spans="1:23" ht="39" hidden="1" customHeight="1">
      <c r="A37" s="2557"/>
      <c r="B37" s="2539"/>
      <c r="C37" s="2537"/>
      <c r="D37" s="530" t="s">
        <v>1079</v>
      </c>
      <c r="E37" s="531">
        <v>87.33</v>
      </c>
      <c r="F37" s="532"/>
      <c r="G37" s="514">
        <v>94.49</v>
      </c>
      <c r="H37" s="514">
        <f>94.3</f>
        <v>94.3</v>
      </c>
      <c r="I37" s="514"/>
      <c r="J37" s="534">
        <v>78.900000000000006</v>
      </c>
      <c r="K37" s="514">
        <v>78.900000000000006</v>
      </c>
      <c r="L37" s="514">
        <v>80.900000000000006</v>
      </c>
      <c r="M37" s="514">
        <v>82.9</v>
      </c>
      <c r="N37" s="2486"/>
      <c r="O37" s="2529"/>
      <c r="P37" s="2488"/>
      <c r="Q37" s="2527"/>
      <c r="R37" s="2534"/>
      <c r="S37" s="2527"/>
      <c r="T37" s="2527"/>
      <c r="U37" s="2527"/>
      <c r="V37" s="449"/>
      <c r="W37" s="2478"/>
    </row>
    <row r="38" spans="1:23" ht="39" hidden="1" customHeight="1">
      <c r="A38" s="2557"/>
      <c r="B38" s="2539"/>
      <c r="C38" s="2537"/>
      <c r="D38" s="535" t="s">
        <v>2929</v>
      </c>
      <c r="E38" s="537"/>
      <c r="F38" s="536"/>
      <c r="G38" s="534"/>
      <c r="H38" s="534">
        <v>2.476</v>
      </c>
      <c r="I38" s="534"/>
      <c r="J38" s="534"/>
      <c r="K38" s="514">
        <v>1.41</v>
      </c>
      <c r="L38" s="514"/>
      <c r="M38" s="514"/>
      <c r="N38" s="2486"/>
      <c r="O38" s="2529"/>
      <c r="P38" s="2488"/>
      <c r="Q38" s="2527"/>
      <c r="R38" s="2534"/>
      <c r="S38" s="2527"/>
      <c r="T38" s="2527"/>
      <c r="U38" s="2527"/>
      <c r="V38" s="449"/>
      <c r="W38" s="2478"/>
    </row>
    <row r="39" spans="1:23" ht="39" hidden="1" customHeight="1">
      <c r="A39" s="2557"/>
      <c r="B39" s="2539"/>
      <c r="C39" s="2537"/>
      <c r="D39" s="530" t="s">
        <v>712</v>
      </c>
      <c r="E39" s="513"/>
      <c r="F39" s="532"/>
      <c r="G39" s="513"/>
      <c r="H39" s="513"/>
      <c r="I39" s="513"/>
      <c r="J39" s="515"/>
      <c r="K39" s="513"/>
      <c r="L39" s="513"/>
      <c r="M39" s="513"/>
      <c r="N39" s="2486"/>
      <c r="O39" s="2529"/>
      <c r="P39" s="2488"/>
      <c r="Q39" s="2527"/>
      <c r="R39" s="2534"/>
      <c r="S39" s="2527"/>
      <c r="T39" s="2527"/>
      <c r="U39" s="2527"/>
      <c r="V39" s="449"/>
      <c r="W39" s="2478"/>
    </row>
    <row r="40" spans="1:23" ht="39" hidden="1" customHeight="1">
      <c r="A40" s="2557"/>
      <c r="B40" s="2540"/>
      <c r="C40" s="2537"/>
      <c r="D40" s="735" t="s">
        <v>1121</v>
      </c>
      <c r="E40" s="717">
        <f>SUM(E36:E39)</f>
        <v>534.88</v>
      </c>
      <c r="F40" s="716"/>
      <c r="G40" s="717">
        <f>SUM(G36:G39)</f>
        <v>432.37</v>
      </c>
      <c r="H40" s="717">
        <f>SUM(H36:H39)</f>
        <v>565.30599999999993</v>
      </c>
      <c r="I40" s="717">
        <f t="shared" ref="I40:M40" si="15">SUM(I36:I39)</f>
        <v>0</v>
      </c>
      <c r="J40" s="718">
        <f t="shared" si="15"/>
        <v>568.44200000000001</v>
      </c>
      <c r="K40" s="717">
        <f t="shared" si="15"/>
        <v>567.56999999999994</v>
      </c>
      <c r="L40" s="717">
        <f t="shared" si="15"/>
        <v>569.75</v>
      </c>
      <c r="M40" s="717">
        <f t="shared" si="15"/>
        <v>594.9</v>
      </c>
      <c r="N40" s="2486"/>
      <c r="O40" s="2529"/>
      <c r="P40" s="2488"/>
      <c r="Q40" s="2527"/>
      <c r="R40" s="2534"/>
      <c r="S40" s="2527"/>
      <c r="T40" s="2527"/>
      <c r="U40" s="2527"/>
      <c r="V40" s="449"/>
      <c r="W40" s="2478"/>
    </row>
    <row r="41" spans="1:23" ht="39" hidden="1" customHeight="1">
      <c r="A41" s="2557"/>
      <c r="B41" s="2538" t="s">
        <v>1117</v>
      </c>
      <c r="C41" s="2537" t="s">
        <v>1671</v>
      </c>
      <c r="D41" s="530" t="s">
        <v>471</v>
      </c>
      <c r="E41" s="514">
        <v>323.60000000000002</v>
      </c>
      <c r="F41" s="532"/>
      <c r="G41" s="514">
        <v>268.33</v>
      </c>
      <c r="H41" s="514">
        <f>351.52-0.2</f>
        <v>351.32</v>
      </c>
      <c r="I41" s="514"/>
      <c r="J41" s="534">
        <v>413.28</v>
      </c>
      <c r="K41" s="851">
        <v>360.58</v>
      </c>
      <c r="L41" s="851">
        <v>362.14</v>
      </c>
      <c r="M41" s="851">
        <v>379.05</v>
      </c>
      <c r="N41" s="2486"/>
      <c r="O41" s="2528"/>
      <c r="P41" s="2488"/>
      <c r="Q41" s="2527"/>
      <c r="R41" s="2534"/>
      <c r="S41" s="2527"/>
      <c r="T41" s="2527"/>
      <c r="U41" s="2527"/>
      <c r="V41" s="449"/>
      <c r="W41" s="2478"/>
    </row>
    <row r="42" spans="1:23" ht="39" hidden="1" customHeight="1">
      <c r="A42" s="2557"/>
      <c r="B42" s="2539"/>
      <c r="C42" s="2537"/>
      <c r="D42" s="530" t="s">
        <v>1079</v>
      </c>
      <c r="E42" s="531">
        <f>45.5+0.153</f>
        <v>45.652999999999999</v>
      </c>
      <c r="F42" s="532"/>
      <c r="G42" s="514">
        <v>46.5</v>
      </c>
      <c r="H42" s="514">
        <v>41.7</v>
      </c>
      <c r="I42" s="514"/>
      <c r="J42" s="534">
        <v>29.9</v>
      </c>
      <c r="K42" s="514">
        <v>29.9</v>
      </c>
      <c r="L42" s="514">
        <v>25.5</v>
      </c>
      <c r="M42" s="514">
        <v>22.1</v>
      </c>
      <c r="N42" s="2486"/>
      <c r="O42" s="2529"/>
      <c r="P42" s="2488"/>
      <c r="Q42" s="2527"/>
      <c r="R42" s="2534"/>
      <c r="S42" s="2527"/>
      <c r="T42" s="2527"/>
      <c r="U42" s="2527"/>
      <c r="V42" s="449"/>
      <c r="W42" s="2478"/>
    </row>
    <row r="43" spans="1:23" ht="39" hidden="1" customHeight="1">
      <c r="A43" s="2557"/>
      <c r="B43" s="2539"/>
      <c r="C43" s="2537"/>
      <c r="D43" s="530" t="s">
        <v>3026</v>
      </c>
      <c r="E43" s="531"/>
      <c r="F43" s="532"/>
      <c r="G43" s="514"/>
      <c r="H43" s="514"/>
      <c r="I43" s="514"/>
      <c r="J43" s="534"/>
      <c r="K43" s="514">
        <v>0.67800000000000005</v>
      </c>
      <c r="L43" s="514"/>
      <c r="M43" s="514"/>
      <c r="N43" s="2486"/>
      <c r="O43" s="2529"/>
      <c r="P43" s="2488"/>
      <c r="Q43" s="2527"/>
      <c r="R43" s="2534"/>
      <c r="S43" s="2527"/>
      <c r="T43" s="2527"/>
      <c r="U43" s="2527"/>
      <c r="V43" s="449"/>
      <c r="W43" s="2478"/>
    </row>
    <row r="44" spans="1:23" ht="39" hidden="1" customHeight="1">
      <c r="A44" s="2557"/>
      <c r="B44" s="2539"/>
      <c r="C44" s="2537"/>
      <c r="D44" s="530" t="s">
        <v>712</v>
      </c>
      <c r="E44" s="513"/>
      <c r="F44" s="532"/>
      <c r="G44" s="513"/>
      <c r="H44" s="513"/>
      <c r="I44" s="513"/>
      <c r="J44" s="515"/>
      <c r="K44" s="513"/>
      <c r="L44" s="513"/>
      <c r="M44" s="513"/>
      <c r="N44" s="2486"/>
      <c r="O44" s="2529"/>
      <c r="P44" s="2488"/>
      <c r="Q44" s="2527"/>
      <c r="R44" s="2534"/>
      <c r="S44" s="2527"/>
      <c r="T44" s="2527"/>
      <c r="U44" s="2527"/>
      <c r="V44" s="449"/>
      <c r="W44" s="2478"/>
    </row>
    <row r="45" spans="1:23" ht="39" hidden="1" customHeight="1">
      <c r="A45" s="2557"/>
      <c r="B45" s="2540"/>
      <c r="C45" s="2537"/>
      <c r="D45" s="735" t="s">
        <v>1121</v>
      </c>
      <c r="E45" s="717">
        <f>SUM(E41:E44)</f>
        <v>369.25300000000004</v>
      </c>
      <c r="F45" s="716"/>
      <c r="G45" s="717">
        <f t="shared" ref="G45:L45" si="16">SUM(G41:G44)</f>
        <v>314.83</v>
      </c>
      <c r="H45" s="717">
        <f t="shared" ref="H45" si="17">SUM(H41:H44)</f>
        <v>393.02</v>
      </c>
      <c r="I45" s="717"/>
      <c r="J45" s="718"/>
      <c r="K45" s="717">
        <f t="shared" si="16"/>
        <v>391.15799999999996</v>
      </c>
      <c r="L45" s="717">
        <f t="shared" si="16"/>
        <v>387.64</v>
      </c>
      <c r="M45" s="717"/>
      <c r="N45" s="2486"/>
      <c r="O45" s="2529"/>
      <c r="P45" s="2488"/>
      <c r="Q45" s="2527"/>
      <c r="R45" s="2534"/>
      <c r="S45" s="2527"/>
      <c r="T45" s="2527"/>
      <c r="U45" s="2527"/>
      <c r="V45" s="449"/>
      <c r="W45" s="2478"/>
    </row>
    <row r="46" spans="1:23" ht="39" hidden="1" customHeight="1">
      <c r="A46" s="2557"/>
      <c r="B46" s="2538" t="s">
        <v>1144</v>
      </c>
      <c r="C46" s="2537" t="s">
        <v>1672</v>
      </c>
      <c r="D46" s="530" t="s">
        <v>471</v>
      </c>
      <c r="E46" s="514">
        <v>353.8</v>
      </c>
      <c r="F46" s="532"/>
      <c r="G46" s="514">
        <v>378.33</v>
      </c>
      <c r="H46" s="514">
        <f>380.02-0.1</f>
        <v>379.91999999999996</v>
      </c>
      <c r="I46" s="514"/>
      <c r="J46" s="534">
        <v>400.279</v>
      </c>
      <c r="K46" s="851">
        <v>413.51</v>
      </c>
      <c r="L46" s="851">
        <v>415.52</v>
      </c>
      <c r="M46" s="851">
        <v>434.69</v>
      </c>
      <c r="N46" s="2486"/>
      <c r="O46" s="2528"/>
      <c r="P46" s="2488"/>
      <c r="Q46" s="2527"/>
      <c r="R46" s="2534"/>
      <c r="S46" s="2527"/>
      <c r="T46" s="2527"/>
      <c r="U46" s="2527"/>
      <c r="V46" s="449"/>
      <c r="W46" s="2478"/>
    </row>
    <row r="47" spans="1:23" ht="39" hidden="1" customHeight="1">
      <c r="A47" s="2557"/>
      <c r="B47" s="2539"/>
      <c r="C47" s="2537"/>
      <c r="D47" s="530" t="s">
        <v>1079</v>
      </c>
      <c r="E47" s="531">
        <v>33.700000000000003</v>
      </c>
      <c r="F47" s="532"/>
      <c r="G47" s="514">
        <v>40.590000000000003</v>
      </c>
      <c r="H47" s="514">
        <f>37.6</f>
        <v>37.6</v>
      </c>
      <c r="I47" s="514"/>
      <c r="J47" s="534">
        <v>39.1</v>
      </c>
      <c r="K47" s="514">
        <v>39</v>
      </c>
      <c r="L47" s="514">
        <v>41</v>
      </c>
      <c r="M47" s="514">
        <v>43</v>
      </c>
      <c r="N47" s="2486"/>
      <c r="O47" s="2529"/>
      <c r="P47" s="2488"/>
      <c r="Q47" s="2527"/>
      <c r="R47" s="2534"/>
      <c r="S47" s="2527"/>
      <c r="T47" s="2527"/>
      <c r="U47" s="2527"/>
      <c r="V47" s="449"/>
      <c r="W47" s="2478"/>
    </row>
    <row r="48" spans="1:23" ht="39" hidden="1" customHeight="1">
      <c r="A48" s="2557"/>
      <c r="B48" s="2539"/>
      <c r="C48" s="2537"/>
      <c r="D48" s="530" t="s">
        <v>2929</v>
      </c>
      <c r="E48" s="531"/>
      <c r="F48" s="532"/>
      <c r="G48" s="514"/>
      <c r="H48" s="514">
        <v>0.58499999999999996</v>
      </c>
      <c r="I48" s="534"/>
      <c r="J48" s="534"/>
      <c r="K48" s="514">
        <v>0.96199999999999997</v>
      </c>
      <c r="L48" s="514"/>
      <c r="M48" s="514"/>
      <c r="N48" s="2486"/>
      <c r="O48" s="2529"/>
      <c r="P48" s="2488"/>
      <c r="Q48" s="2527"/>
      <c r="R48" s="2534"/>
      <c r="S48" s="2527"/>
      <c r="T48" s="2527"/>
      <c r="U48" s="2527"/>
      <c r="V48" s="449"/>
      <c r="W48" s="2478"/>
    </row>
    <row r="49" spans="1:23" ht="39" hidden="1" customHeight="1">
      <c r="A49" s="2557"/>
      <c r="B49" s="2539"/>
      <c r="C49" s="2537"/>
      <c r="D49" s="530" t="s">
        <v>712</v>
      </c>
      <c r="E49" s="513"/>
      <c r="F49" s="532"/>
      <c r="G49" s="513"/>
      <c r="H49" s="513"/>
      <c r="I49" s="513"/>
      <c r="J49" s="515">
        <v>0.87</v>
      </c>
      <c r="K49" s="513">
        <v>0.87</v>
      </c>
      <c r="L49" s="513">
        <v>0.87</v>
      </c>
      <c r="M49" s="513">
        <v>0.87</v>
      </c>
      <c r="N49" s="2486"/>
      <c r="O49" s="2529"/>
      <c r="P49" s="2488"/>
      <c r="Q49" s="2527"/>
      <c r="R49" s="2534"/>
      <c r="S49" s="2527"/>
      <c r="T49" s="2527"/>
      <c r="U49" s="2527"/>
      <c r="V49" s="449"/>
      <c r="W49" s="2478"/>
    </row>
    <row r="50" spans="1:23" ht="39" hidden="1" customHeight="1">
      <c r="A50" s="2557"/>
      <c r="B50" s="2540"/>
      <c r="C50" s="2537"/>
      <c r="D50" s="735" t="s">
        <v>1121</v>
      </c>
      <c r="E50" s="717">
        <f>SUM(E46:E49)</f>
        <v>387.5</v>
      </c>
      <c r="F50" s="716"/>
      <c r="G50" s="717">
        <f>SUM(G46:G49)</f>
        <v>418.91999999999996</v>
      </c>
      <c r="H50" s="717">
        <f>SUM(H46:H49)</f>
        <v>418.10499999999996</v>
      </c>
      <c r="I50" s="717"/>
      <c r="J50" s="718">
        <f t="shared" ref="J50:M50" si="18">SUM(J46:J49)</f>
        <v>440.24900000000002</v>
      </c>
      <c r="K50" s="717">
        <f t="shared" si="18"/>
        <v>454.34199999999998</v>
      </c>
      <c r="L50" s="717">
        <f t="shared" si="18"/>
        <v>457.39</v>
      </c>
      <c r="M50" s="717">
        <f t="shared" si="18"/>
        <v>478.56</v>
      </c>
      <c r="N50" s="2486"/>
      <c r="O50" s="2529"/>
      <c r="P50" s="2488"/>
      <c r="Q50" s="2527"/>
      <c r="R50" s="2534"/>
      <c r="S50" s="2527"/>
      <c r="T50" s="2527"/>
      <c r="U50" s="2527"/>
      <c r="V50" s="449"/>
      <c r="W50" s="2478"/>
    </row>
    <row r="51" spans="1:23" ht="39" hidden="1" customHeight="1">
      <c r="A51" s="2557"/>
      <c r="B51" s="2538" t="s">
        <v>1118</v>
      </c>
      <c r="C51" s="2537" t="s">
        <v>1673</v>
      </c>
      <c r="D51" s="530" t="s">
        <v>471</v>
      </c>
      <c r="E51" s="514">
        <v>410</v>
      </c>
      <c r="F51" s="532"/>
      <c r="G51" s="514">
        <v>433.351</v>
      </c>
      <c r="H51" s="514">
        <f>448.25-0.76</f>
        <v>447.49</v>
      </c>
      <c r="I51" s="514"/>
      <c r="J51" s="534">
        <v>470.87400000000002</v>
      </c>
      <c r="K51" s="851">
        <v>481.03</v>
      </c>
      <c r="L51" s="851">
        <v>483.51</v>
      </c>
      <c r="M51" s="851">
        <v>505.6</v>
      </c>
      <c r="N51" s="2486"/>
      <c r="O51" s="2528"/>
      <c r="P51" s="2488"/>
      <c r="Q51" s="2527"/>
      <c r="R51" s="2534"/>
      <c r="S51" s="2527"/>
      <c r="T51" s="2527"/>
      <c r="U51" s="2527"/>
      <c r="V51" s="449"/>
      <c r="W51" s="2478"/>
    </row>
    <row r="52" spans="1:23" ht="39" hidden="1" customHeight="1">
      <c r="A52" s="2557"/>
      <c r="B52" s="2539"/>
      <c r="C52" s="2537"/>
      <c r="D52" s="530" t="s">
        <v>1079</v>
      </c>
      <c r="E52" s="514">
        <f>38.5+0.829</f>
        <v>39.329000000000001</v>
      </c>
      <c r="F52" s="532"/>
      <c r="G52" s="514">
        <v>59.03</v>
      </c>
      <c r="H52" s="514">
        <v>40.5</v>
      </c>
      <c r="I52" s="514"/>
      <c r="J52" s="534">
        <v>40.5</v>
      </c>
      <c r="K52" s="514">
        <v>40.5</v>
      </c>
      <c r="L52" s="514">
        <v>42.1</v>
      </c>
      <c r="M52" s="514">
        <v>43.9</v>
      </c>
      <c r="N52" s="2486"/>
      <c r="O52" s="2529"/>
      <c r="P52" s="2488"/>
      <c r="Q52" s="2527"/>
      <c r="R52" s="2534"/>
      <c r="S52" s="2527"/>
      <c r="T52" s="2527"/>
      <c r="U52" s="2527"/>
      <c r="V52" s="449"/>
      <c r="W52" s="2478"/>
    </row>
    <row r="53" spans="1:23" ht="39" hidden="1" customHeight="1">
      <c r="A53" s="2557"/>
      <c r="B53" s="2539"/>
      <c r="C53" s="2537"/>
      <c r="D53" s="530" t="s">
        <v>712</v>
      </c>
      <c r="E53" s="513"/>
      <c r="F53" s="532"/>
      <c r="G53" s="513"/>
      <c r="H53" s="513"/>
      <c r="I53" s="513"/>
      <c r="J53" s="515"/>
      <c r="K53" s="513"/>
      <c r="L53" s="513"/>
      <c r="M53" s="513"/>
      <c r="N53" s="2486"/>
      <c r="O53" s="2529"/>
      <c r="P53" s="2488"/>
      <c r="Q53" s="2527"/>
      <c r="R53" s="2534"/>
      <c r="S53" s="2527"/>
      <c r="T53" s="2527"/>
      <c r="U53" s="2527"/>
      <c r="V53" s="449"/>
      <c r="W53" s="2478"/>
    </row>
    <row r="54" spans="1:23" ht="39" hidden="1" customHeight="1">
      <c r="A54" s="2557"/>
      <c r="B54" s="2540"/>
      <c r="C54" s="2537"/>
      <c r="D54" s="735" t="s">
        <v>1121</v>
      </c>
      <c r="E54" s="717">
        <f>SUM(E51:E53)</f>
        <v>449.32900000000001</v>
      </c>
      <c r="F54" s="716"/>
      <c r="G54" s="717">
        <f t="shared" ref="G54" si="19">SUM(G51:G53)</f>
        <v>492.38099999999997</v>
      </c>
      <c r="H54" s="717">
        <f t="shared" ref="H54:M54" si="20">SUM(H51:H53)</f>
        <v>487.99</v>
      </c>
      <c r="I54" s="717">
        <f t="shared" si="20"/>
        <v>0</v>
      </c>
      <c r="J54" s="718">
        <f t="shared" si="20"/>
        <v>511.37400000000002</v>
      </c>
      <c r="K54" s="717">
        <f t="shared" si="20"/>
        <v>521.53</v>
      </c>
      <c r="L54" s="717">
        <f t="shared" si="20"/>
        <v>525.61</v>
      </c>
      <c r="M54" s="717">
        <f t="shared" si="20"/>
        <v>549.5</v>
      </c>
      <c r="N54" s="2486"/>
      <c r="O54" s="2529"/>
      <c r="P54" s="2488"/>
      <c r="Q54" s="2527"/>
      <c r="R54" s="2534"/>
      <c r="S54" s="2527"/>
      <c r="T54" s="2527"/>
      <c r="U54" s="2527"/>
      <c r="V54" s="449"/>
      <c r="W54" s="2478"/>
    </row>
    <row r="55" spans="1:23" ht="39" hidden="1" customHeight="1">
      <c r="A55" s="2557"/>
      <c r="B55" s="2538" t="s">
        <v>1145</v>
      </c>
      <c r="C55" s="2537" t="s">
        <v>1674</v>
      </c>
      <c r="D55" s="530" t="s">
        <v>471</v>
      </c>
      <c r="E55" s="514">
        <v>482.66</v>
      </c>
      <c r="F55" s="532"/>
      <c r="G55" s="514">
        <v>516.5</v>
      </c>
      <c r="H55" s="514">
        <f>518.62-0.22</f>
        <v>518.4</v>
      </c>
      <c r="I55" s="514"/>
      <c r="J55" s="534">
        <v>560.98099999999999</v>
      </c>
      <c r="K55" s="851">
        <v>563.42999999999995</v>
      </c>
      <c r="L55" s="851">
        <v>566.97</v>
      </c>
      <c r="M55" s="851">
        <v>592.44000000000005</v>
      </c>
      <c r="N55" s="2486"/>
      <c r="O55" s="2528"/>
      <c r="P55" s="2488"/>
      <c r="Q55" s="2527"/>
      <c r="R55" s="2534"/>
      <c r="S55" s="2527"/>
      <c r="T55" s="2527"/>
      <c r="U55" s="2527"/>
      <c r="V55" s="449"/>
      <c r="W55" s="2478"/>
    </row>
    <row r="56" spans="1:23" ht="39" hidden="1" customHeight="1">
      <c r="A56" s="2557"/>
      <c r="B56" s="2539"/>
      <c r="C56" s="2537"/>
      <c r="D56" s="530" t="s">
        <v>1079</v>
      </c>
      <c r="E56" s="531">
        <f>40.7+1.42</f>
        <v>42.120000000000005</v>
      </c>
      <c r="F56" s="532"/>
      <c r="G56" s="514">
        <v>45.7</v>
      </c>
      <c r="H56" s="514">
        <f>51</f>
        <v>51</v>
      </c>
      <c r="I56" s="514"/>
      <c r="J56" s="534">
        <v>50.7</v>
      </c>
      <c r="K56" s="514">
        <v>50.7</v>
      </c>
      <c r="L56" s="514">
        <v>52.4</v>
      </c>
      <c r="M56" s="514">
        <v>55</v>
      </c>
      <c r="N56" s="2486"/>
      <c r="O56" s="2529"/>
      <c r="P56" s="2488"/>
      <c r="Q56" s="2527"/>
      <c r="R56" s="2534"/>
      <c r="S56" s="2527"/>
      <c r="T56" s="2527"/>
      <c r="U56" s="2527"/>
      <c r="V56" s="449"/>
      <c r="W56" s="2478"/>
    </row>
    <row r="57" spans="1:23" ht="39" hidden="1" customHeight="1">
      <c r="A57" s="2557"/>
      <c r="B57" s="2539"/>
      <c r="C57" s="2537"/>
      <c r="D57" s="535" t="s">
        <v>2929</v>
      </c>
      <c r="E57" s="531"/>
      <c r="F57" s="532"/>
      <c r="G57" s="514"/>
      <c r="H57" s="514">
        <v>0.67900000000000005</v>
      </c>
      <c r="I57" s="514"/>
      <c r="J57" s="534"/>
      <c r="K57" s="514">
        <v>2.4660000000000002</v>
      </c>
      <c r="L57" s="514"/>
      <c r="M57" s="514"/>
      <c r="N57" s="2486"/>
      <c r="O57" s="2529"/>
      <c r="P57" s="2488"/>
      <c r="Q57" s="2527"/>
      <c r="R57" s="2534"/>
      <c r="S57" s="2527"/>
      <c r="T57" s="2527"/>
      <c r="U57" s="2527"/>
      <c r="V57" s="449"/>
      <c r="W57" s="2478"/>
    </row>
    <row r="58" spans="1:23" ht="39" hidden="1" customHeight="1">
      <c r="A58" s="2557"/>
      <c r="B58" s="2539"/>
      <c r="C58" s="2537"/>
      <c r="D58" s="530" t="s">
        <v>712</v>
      </c>
      <c r="E58" s="514"/>
      <c r="F58" s="532"/>
      <c r="G58" s="514"/>
      <c r="H58" s="514"/>
      <c r="I58" s="514"/>
      <c r="J58" s="534">
        <v>2</v>
      </c>
      <c r="K58" s="514">
        <v>2</v>
      </c>
      <c r="L58" s="514">
        <v>2</v>
      </c>
      <c r="M58" s="514">
        <v>2</v>
      </c>
      <c r="N58" s="2486"/>
      <c r="O58" s="2529"/>
      <c r="P58" s="2488"/>
      <c r="Q58" s="2527"/>
      <c r="R58" s="2534"/>
      <c r="S58" s="2527"/>
      <c r="T58" s="2527"/>
      <c r="U58" s="2527"/>
      <c r="V58" s="449"/>
      <c r="W58" s="2478"/>
    </row>
    <row r="59" spans="1:23" ht="39" hidden="1" customHeight="1">
      <c r="A59" s="2557"/>
      <c r="B59" s="2540"/>
      <c r="C59" s="2537"/>
      <c r="D59" s="735" t="s">
        <v>1121</v>
      </c>
      <c r="E59" s="717">
        <f>SUM(E55:E58)</f>
        <v>524.78</v>
      </c>
      <c r="F59" s="716"/>
      <c r="G59" s="717">
        <f>SUM(G55:G58)</f>
        <v>562.20000000000005</v>
      </c>
      <c r="H59" s="717">
        <f>SUM(H55:H58)</f>
        <v>570.07899999999995</v>
      </c>
      <c r="I59" s="717"/>
      <c r="J59" s="718">
        <f t="shared" ref="J59:M59" si="21">SUM(J55:J58)</f>
        <v>613.68100000000004</v>
      </c>
      <c r="K59" s="717">
        <f t="shared" si="21"/>
        <v>618.596</v>
      </c>
      <c r="L59" s="717">
        <f t="shared" si="21"/>
        <v>621.37</v>
      </c>
      <c r="M59" s="717">
        <f t="shared" si="21"/>
        <v>649.44000000000005</v>
      </c>
      <c r="N59" s="2486"/>
      <c r="O59" s="2529"/>
      <c r="P59" s="2488"/>
      <c r="Q59" s="2527"/>
      <c r="R59" s="2534"/>
      <c r="S59" s="2527"/>
      <c r="T59" s="2527"/>
      <c r="U59" s="2527"/>
      <c r="V59" s="449"/>
      <c r="W59" s="2478"/>
    </row>
    <row r="60" spans="1:23" ht="39" hidden="1" customHeight="1">
      <c r="A60" s="2557"/>
      <c r="B60" s="2538" t="s">
        <v>1119</v>
      </c>
      <c r="C60" s="2537" t="s">
        <v>1675</v>
      </c>
      <c r="D60" s="530" t="s">
        <v>471</v>
      </c>
      <c r="E60" s="514">
        <v>424.35</v>
      </c>
      <c r="F60" s="532"/>
      <c r="G60" s="514">
        <v>467.52800000000002</v>
      </c>
      <c r="H60" s="514">
        <f>459.67-0.9</f>
        <v>458.77000000000004</v>
      </c>
      <c r="I60" s="514"/>
      <c r="J60" s="534">
        <v>506.40300000000002</v>
      </c>
      <c r="K60" s="851">
        <v>489.6</v>
      </c>
      <c r="L60" s="851">
        <v>492.34</v>
      </c>
      <c r="M60" s="851">
        <v>514.54</v>
      </c>
      <c r="N60" s="2486"/>
      <c r="O60" s="2528"/>
      <c r="P60" s="2488"/>
      <c r="Q60" s="2527"/>
      <c r="R60" s="2534"/>
      <c r="S60" s="2527"/>
      <c r="T60" s="2527"/>
      <c r="U60" s="2527"/>
      <c r="V60" s="449"/>
      <c r="W60" s="2478"/>
    </row>
    <row r="61" spans="1:23" ht="39" hidden="1" customHeight="1">
      <c r="A61" s="2557"/>
      <c r="B61" s="2539"/>
      <c r="C61" s="2537"/>
      <c r="D61" s="530" t="s">
        <v>1079</v>
      </c>
      <c r="E61" s="531">
        <v>71.102999999999994</v>
      </c>
      <c r="F61" s="532"/>
      <c r="G61" s="514">
        <v>77.5</v>
      </c>
      <c r="H61" s="514">
        <f>76.5</f>
        <v>76.5</v>
      </c>
      <c r="I61" s="514"/>
      <c r="J61" s="534">
        <v>73</v>
      </c>
      <c r="K61" s="514">
        <v>73</v>
      </c>
      <c r="L61" s="514">
        <v>76.599999999999994</v>
      </c>
      <c r="M61" s="514">
        <v>80</v>
      </c>
      <c r="N61" s="2486"/>
      <c r="O61" s="2529"/>
      <c r="P61" s="2488"/>
      <c r="Q61" s="2527"/>
      <c r="R61" s="2534"/>
      <c r="S61" s="2527"/>
      <c r="T61" s="2527"/>
      <c r="U61" s="2527"/>
      <c r="V61" s="449"/>
      <c r="W61" s="2478"/>
    </row>
    <row r="62" spans="1:23" ht="39" hidden="1" customHeight="1">
      <c r="A62" s="2557"/>
      <c r="B62" s="2539"/>
      <c r="C62" s="2537"/>
      <c r="D62" s="535" t="s">
        <v>2929</v>
      </c>
      <c r="E62" s="531"/>
      <c r="F62" s="532"/>
      <c r="G62" s="514"/>
      <c r="H62" s="534">
        <v>0.159</v>
      </c>
      <c r="I62" s="534"/>
      <c r="J62" s="534"/>
      <c r="K62" s="514">
        <v>3.1890000000000001</v>
      </c>
      <c r="L62" s="514"/>
      <c r="M62" s="514"/>
      <c r="N62" s="2486"/>
      <c r="O62" s="2529"/>
      <c r="P62" s="2488"/>
      <c r="Q62" s="2527"/>
      <c r="R62" s="2534"/>
      <c r="S62" s="2527"/>
      <c r="T62" s="2527"/>
      <c r="U62" s="2527"/>
      <c r="V62" s="449"/>
      <c r="W62" s="2478"/>
    </row>
    <row r="63" spans="1:23" ht="39" hidden="1" customHeight="1">
      <c r="A63" s="2557"/>
      <c r="B63" s="2539"/>
      <c r="C63" s="2537"/>
      <c r="D63" s="530" t="s">
        <v>1122</v>
      </c>
      <c r="E63" s="514">
        <v>35</v>
      </c>
      <c r="F63" s="532"/>
      <c r="G63" s="514">
        <v>36</v>
      </c>
      <c r="H63" s="514">
        <v>0</v>
      </c>
      <c r="I63" s="514"/>
      <c r="J63" s="534">
        <v>39</v>
      </c>
      <c r="K63" s="513"/>
      <c r="L63" s="513"/>
      <c r="M63" s="513"/>
      <c r="N63" s="2486"/>
      <c r="O63" s="2529"/>
      <c r="P63" s="2488"/>
      <c r="Q63" s="2527"/>
      <c r="R63" s="2534"/>
      <c r="S63" s="2527"/>
      <c r="T63" s="2527"/>
      <c r="U63" s="2527"/>
      <c r="V63" s="449"/>
      <c r="W63" s="2478"/>
    </row>
    <row r="64" spans="1:23" ht="39" hidden="1" customHeight="1">
      <c r="A64" s="2557"/>
      <c r="B64" s="2539"/>
      <c r="C64" s="2537"/>
      <c r="D64" s="530" t="s">
        <v>712</v>
      </c>
      <c r="E64" s="513"/>
      <c r="F64" s="532"/>
      <c r="G64" s="513"/>
      <c r="H64" s="513"/>
      <c r="I64" s="513"/>
      <c r="J64" s="515"/>
      <c r="K64" s="513"/>
      <c r="L64" s="513"/>
      <c r="M64" s="513"/>
      <c r="N64" s="2486"/>
      <c r="O64" s="2529"/>
      <c r="P64" s="2488"/>
      <c r="Q64" s="2527"/>
      <c r="R64" s="2534"/>
      <c r="S64" s="2527"/>
      <c r="T64" s="2527"/>
      <c r="U64" s="2527"/>
      <c r="V64" s="449"/>
      <c r="W64" s="2478"/>
    </row>
    <row r="65" spans="1:24" ht="39" hidden="1" customHeight="1">
      <c r="A65" s="2557"/>
      <c r="B65" s="2540"/>
      <c r="C65" s="2537"/>
      <c r="D65" s="735" t="s">
        <v>1121</v>
      </c>
      <c r="E65" s="717">
        <f>SUM(E60:E64)</f>
        <v>530.45299999999997</v>
      </c>
      <c r="F65" s="716"/>
      <c r="G65" s="717">
        <f t="shared" ref="G65" si="22">SUM(G60:G64)</f>
        <v>581.02800000000002</v>
      </c>
      <c r="H65" s="717">
        <f t="shared" ref="H65:M65" si="23">SUM(H60:H64)</f>
        <v>535.42899999999997</v>
      </c>
      <c r="I65" s="717">
        <f t="shared" si="23"/>
        <v>0</v>
      </c>
      <c r="J65" s="718">
        <f t="shared" si="23"/>
        <v>618.40300000000002</v>
      </c>
      <c r="K65" s="717">
        <f t="shared" si="23"/>
        <v>565.78899999999999</v>
      </c>
      <c r="L65" s="717">
        <f t="shared" si="23"/>
        <v>568.93999999999994</v>
      </c>
      <c r="M65" s="717">
        <f t="shared" si="23"/>
        <v>594.54</v>
      </c>
      <c r="N65" s="2486"/>
      <c r="O65" s="2529"/>
      <c r="P65" s="2488"/>
      <c r="Q65" s="2527"/>
      <c r="R65" s="2534"/>
      <c r="S65" s="2527"/>
      <c r="T65" s="2527"/>
      <c r="U65" s="2527"/>
      <c r="V65" s="449"/>
      <c r="W65" s="2478"/>
    </row>
    <row r="66" spans="1:24" ht="39" hidden="1" customHeight="1">
      <c r="A66" s="2557"/>
      <c r="B66" s="2538" t="s">
        <v>1146</v>
      </c>
      <c r="C66" s="2537" t="s">
        <v>1676</v>
      </c>
      <c r="D66" s="530" t="s">
        <v>471</v>
      </c>
      <c r="E66" s="514">
        <v>312.13</v>
      </c>
      <c r="F66" s="532"/>
      <c r="G66" s="514">
        <v>371.73</v>
      </c>
      <c r="H66" s="514">
        <v>342.37</v>
      </c>
      <c r="I66" s="514"/>
      <c r="J66" s="534">
        <v>342.55</v>
      </c>
      <c r="K66" s="831">
        <v>376.66</v>
      </c>
      <c r="L66" s="831">
        <v>378.55</v>
      </c>
      <c r="M66" s="831">
        <v>395.82900000000001</v>
      </c>
      <c r="N66" s="2486"/>
      <c r="O66" s="2528"/>
      <c r="P66" s="2488"/>
      <c r="Q66" s="2527"/>
      <c r="R66" s="2534"/>
      <c r="S66" s="2527"/>
      <c r="T66" s="2527"/>
      <c r="U66" s="2527"/>
      <c r="V66" s="449"/>
      <c r="W66" s="2478"/>
    </row>
    <row r="67" spans="1:24" ht="39" hidden="1" customHeight="1">
      <c r="A67" s="2557"/>
      <c r="B67" s="2539"/>
      <c r="C67" s="2537"/>
      <c r="D67" s="530" t="s">
        <v>1079</v>
      </c>
      <c r="E67" s="531">
        <v>31</v>
      </c>
      <c r="F67" s="532"/>
      <c r="G67" s="514">
        <v>30</v>
      </c>
      <c r="H67" s="514">
        <f>30.1</f>
        <v>30.1</v>
      </c>
      <c r="I67" s="514"/>
      <c r="J67" s="534">
        <v>31.1</v>
      </c>
      <c r="K67" s="513">
        <v>31.1</v>
      </c>
      <c r="L67" s="513">
        <v>32.6</v>
      </c>
      <c r="M67" s="650">
        <v>34.299999999999997</v>
      </c>
      <c r="N67" s="2486"/>
      <c r="O67" s="2529"/>
      <c r="P67" s="2488"/>
      <c r="Q67" s="2527"/>
      <c r="R67" s="2534"/>
      <c r="S67" s="2527"/>
      <c r="T67" s="2527"/>
      <c r="U67" s="2527"/>
      <c r="V67" s="449"/>
      <c r="W67" s="2478"/>
      <c r="X67" s="306"/>
    </row>
    <row r="68" spans="1:24" ht="39" hidden="1" customHeight="1">
      <c r="A68" s="2557"/>
      <c r="B68" s="2539"/>
      <c r="C68" s="2537"/>
      <c r="D68" s="530" t="s">
        <v>2929</v>
      </c>
      <c r="E68" s="531"/>
      <c r="F68" s="532"/>
      <c r="G68" s="514"/>
      <c r="H68" s="514">
        <v>8.0000000000000002E-3</v>
      </c>
      <c r="I68" s="534"/>
      <c r="J68" s="534"/>
      <c r="K68" s="513">
        <v>0.20799999999999999</v>
      </c>
      <c r="L68" s="513"/>
      <c r="M68" s="513"/>
      <c r="N68" s="2486"/>
      <c r="O68" s="2529"/>
      <c r="P68" s="2488"/>
      <c r="Q68" s="2527"/>
      <c r="R68" s="2534"/>
      <c r="S68" s="2527"/>
      <c r="T68" s="2527"/>
      <c r="U68" s="2527"/>
      <c r="V68" s="449"/>
      <c r="W68" s="2478"/>
      <c r="X68" s="306"/>
    </row>
    <row r="69" spans="1:24" ht="39" hidden="1" customHeight="1">
      <c r="A69" s="2557"/>
      <c r="B69" s="2539"/>
      <c r="C69" s="2537"/>
      <c r="D69" s="530" t="s">
        <v>712</v>
      </c>
      <c r="E69" s="513"/>
      <c r="F69" s="532"/>
      <c r="G69" s="513"/>
      <c r="H69" s="513"/>
      <c r="I69" s="513"/>
      <c r="J69" s="515"/>
      <c r="K69" s="513"/>
      <c r="L69" s="513"/>
      <c r="M69" s="513"/>
      <c r="N69" s="2486"/>
      <c r="O69" s="2529"/>
      <c r="P69" s="2488"/>
      <c r="Q69" s="2527"/>
      <c r="R69" s="2534"/>
      <c r="S69" s="2527"/>
      <c r="T69" s="2527"/>
      <c r="U69" s="2527"/>
      <c r="V69" s="449"/>
      <c r="W69" s="2478"/>
    </row>
    <row r="70" spans="1:24" ht="39" hidden="1" customHeight="1">
      <c r="A70" s="2557"/>
      <c r="B70" s="2540"/>
      <c r="C70" s="2537"/>
      <c r="D70" s="735" t="s">
        <v>1121</v>
      </c>
      <c r="E70" s="717">
        <f>SUM(E66:E69)</f>
        <v>343.13</v>
      </c>
      <c r="F70" s="716"/>
      <c r="G70" s="717">
        <f t="shared" ref="G70" si="24">SUM(G66:G69)</f>
        <v>401.73</v>
      </c>
      <c r="H70" s="717">
        <f t="shared" ref="H70:M70" si="25">SUM(H66:H69)</f>
        <v>372.47800000000001</v>
      </c>
      <c r="I70" s="717"/>
      <c r="J70" s="718">
        <f t="shared" si="25"/>
        <v>373.65000000000003</v>
      </c>
      <c r="K70" s="717">
        <f t="shared" si="25"/>
        <v>407.96800000000007</v>
      </c>
      <c r="L70" s="717">
        <f t="shared" si="25"/>
        <v>411.15000000000003</v>
      </c>
      <c r="M70" s="717">
        <f t="shared" si="25"/>
        <v>430.12900000000002</v>
      </c>
      <c r="N70" s="2486"/>
      <c r="O70" s="2529"/>
      <c r="P70" s="2488"/>
      <c r="Q70" s="2527"/>
      <c r="R70" s="2534"/>
      <c r="S70" s="2527"/>
      <c r="T70" s="2527"/>
      <c r="U70" s="2527"/>
      <c r="V70" s="449"/>
      <c r="W70" s="2478"/>
    </row>
    <row r="71" spans="1:24" ht="39" hidden="1" customHeight="1">
      <c r="A71" s="2557"/>
      <c r="B71" s="2538" t="s">
        <v>1120</v>
      </c>
      <c r="C71" s="2551" t="s">
        <v>1677</v>
      </c>
      <c r="D71" s="530" t="s">
        <v>471</v>
      </c>
      <c r="E71" s="531">
        <v>1644.63</v>
      </c>
      <c r="F71" s="532"/>
      <c r="G71" s="514">
        <v>596.9</v>
      </c>
      <c r="H71" s="514">
        <f>464.86-0.77</f>
        <v>464.09000000000003</v>
      </c>
      <c r="I71" s="534"/>
      <c r="J71" s="534">
        <v>505.69499999999999</v>
      </c>
      <c r="K71" s="883">
        <v>1616.7</v>
      </c>
      <c r="L71" s="883">
        <v>1618.6</v>
      </c>
      <c r="M71" s="883">
        <v>1698.23</v>
      </c>
      <c r="N71" s="2486"/>
      <c r="O71" s="2528"/>
      <c r="P71" s="2488"/>
      <c r="Q71" s="2527"/>
      <c r="R71" s="2534"/>
      <c r="S71" s="2527"/>
      <c r="T71" s="2527"/>
      <c r="U71" s="2527"/>
      <c r="V71" s="449"/>
      <c r="W71" s="2478"/>
    </row>
    <row r="72" spans="1:24" ht="39" hidden="1" customHeight="1">
      <c r="A72" s="2557"/>
      <c r="B72" s="2539"/>
      <c r="C72" s="2552"/>
      <c r="D72" s="530" t="s">
        <v>1079</v>
      </c>
      <c r="E72" s="531">
        <v>92.5</v>
      </c>
      <c r="F72" s="532"/>
      <c r="G72" s="514">
        <v>77.644999999999996</v>
      </c>
      <c r="H72" s="514">
        <v>87.7</v>
      </c>
      <c r="I72" s="514"/>
      <c r="J72" s="534">
        <v>50.95</v>
      </c>
      <c r="K72" s="513"/>
      <c r="L72" s="513"/>
      <c r="M72" s="513"/>
      <c r="N72" s="2486"/>
      <c r="O72" s="2529"/>
      <c r="P72" s="2488"/>
      <c r="Q72" s="2527"/>
      <c r="R72" s="2534"/>
      <c r="S72" s="2527"/>
      <c r="T72" s="2527"/>
      <c r="U72" s="2527"/>
      <c r="V72" s="449"/>
      <c r="W72" s="2478"/>
    </row>
    <row r="73" spans="1:24" ht="39" hidden="1" customHeight="1">
      <c r="A73" s="2557"/>
      <c r="B73" s="2539"/>
      <c r="C73" s="2552"/>
      <c r="D73" s="530" t="s">
        <v>712</v>
      </c>
      <c r="E73" s="513"/>
      <c r="F73" s="532"/>
      <c r="G73" s="513"/>
      <c r="H73" s="513"/>
      <c r="I73" s="513"/>
      <c r="J73" s="515"/>
      <c r="K73" s="513"/>
      <c r="L73" s="513"/>
      <c r="M73" s="513"/>
      <c r="N73" s="2486"/>
      <c r="O73" s="2529"/>
      <c r="P73" s="2488"/>
      <c r="Q73" s="2527"/>
      <c r="R73" s="2534"/>
      <c r="S73" s="2527"/>
      <c r="T73" s="2527"/>
      <c r="U73" s="2527"/>
      <c r="V73" s="449"/>
      <c r="W73" s="2478"/>
    </row>
    <row r="74" spans="1:24" ht="39" hidden="1" customHeight="1">
      <c r="A74" s="2557"/>
      <c r="B74" s="2539"/>
      <c r="C74" s="2552"/>
      <c r="D74" s="735" t="s">
        <v>1121</v>
      </c>
      <c r="E74" s="717">
        <f>SUM(E71:E73)</f>
        <v>1737.13</v>
      </c>
      <c r="F74" s="716"/>
      <c r="G74" s="717">
        <f t="shared" ref="G74" si="26">SUM(G71:G73)</f>
        <v>674.54499999999996</v>
      </c>
      <c r="H74" s="717">
        <f t="shared" ref="H74:M74" si="27">SUM(H71:H73)</f>
        <v>551.79000000000008</v>
      </c>
      <c r="I74" s="717"/>
      <c r="J74" s="718">
        <f t="shared" si="27"/>
        <v>556.64499999999998</v>
      </c>
      <c r="K74" s="717">
        <f t="shared" si="27"/>
        <v>1616.7</v>
      </c>
      <c r="L74" s="717">
        <f t="shared" si="27"/>
        <v>1618.6</v>
      </c>
      <c r="M74" s="717">
        <f t="shared" si="27"/>
        <v>1698.23</v>
      </c>
      <c r="N74" s="2486"/>
      <c r="O74" s="2529"/>
      <c r="P74" s="2488"/>
      <c r="Q74" s="2527"/>
      <c r="R74" s="2534"/>
      <c r="S74" s="2527"/>
      <c r="T74" s="2527"/>
      <c r="U74" s="2527"/>
      <c r="V74" s="449"/>
      <c r="W74" s="2478"/>
    </row>
    <row r="75" spans="1:24" ht="39" hidden="1" customHeight="1">
      <c r="A75" s="2557"/>
      <c r="B75" s="2538" t="s">
        <v>1147</v>
      </c>
      <c r="C75" s="2537" t="s">
        <v>1678</v>
      </c>
      <c r="D75" s="530" t="s">
        <v>471</v>
      </c>
      <c r="E75" s="531">
        <v>99.03</v>
      </c>
      <c r="F75" s="532"/>
      <c r="G75" s="514">
        <v>123.054</v>
      </c>
      <c r="H75" s="514">
        <v>116.2</v>
      </c>
      <c r="I75" s="514"/>
      <c r="J75" s="534">
        <v>124.63</v>
      </c>
      <c r="K75" s="513">
        <v>154.19999999999999</v>
      </c>
      <c r="L75" s="514">
        <v>154.29</v>
      </c>
      <c r="M75" s="514">
        <v>161.87</v>
      </c>
      <c r="N75" s="2486"/>
      <c r="O75" s="2528"/>
      <c r="P75" s="2488"/>
      <c r="Q75" s="2527"/>
      <c r="R75" s="2534"/>
      <c r="S75" s="2527"/>
      <c r="T75" s="2527"/>
      <c r="U75" s="2527"/>
      <c r="V75" s="449"/>
      <c r="W75" s="2478"/>
    </row>
    <row r="76" spans="1:24" ht="39" hidden="1" customHeight="1">
      <c r="A76" s="2557"/>
      <c r="B76" s="2539"/>
      <c r="C76" s="2537"/>
      <c r="D76" s="530" t="s">
        <v>1079</v>
      </c>
      <c r="E76" s="514">
        <v>10.1</v>
      </c>
      <c r="F76" s="532"/>
      <c r="G76" s="514">
        <v>16.100000000000001</v>
      </c>
      <c r="H76" s="514">
        <v>23.1</v>
      </c>
      <c r="I76" s="514"/>
      <c r="J76" s="534">
        <v>27.6</v>
      </c>
      <c r="K76" s="513">
        <v>27.6</v>
      </c>
      <c r="L76" s="513">
        <v>29.1</v>
      </c>
      <c r="M76" s="513">
        <v>30.8</v>
      </c>
      <c r="N76" s="2486"/>
      <c r="O76" s="2529"/>
      <c r="P76" s="2488"/>
      <c r="Q76" s="2527"/>
      <c r="R76" s="2534"/>
      <c r="S76" s="2527"/>
      <c r="T76" s="2527"/>
      <c r="U76" s="2527"/>
      <c r="V76" s="449"/>
      <c r="W76" s="2478"/>
    </row>
    <row r="77" spans="1:24" ht="39" hidden="1" customHeight="1">
      <c r="A77" s="2557"/>
      <c r="B77" s="2539"/>
      <c r="C77" s="2537"/>
      <c r="D77" s="530" t="s">
        <v>712</v>
      </c>
      <c r="E77" s="513"/>
      <c r="F77" s="532"/>
      <c r="G77" s="513">
        <v>0.33300000000000002</v>
      </c>
      <c r="H77" s="513">
        <v>0.33300000000000002</v>
      </c>
      <c r="I77" s="513"/>
      <c r="J77" s="515">
        <v>0.5</v>
      </c>
      <c r="K77" s="513">
        <v>0.5</v>
      </c>
      <c r="L77" s="513">
        <v>0.5</v>
      </c>
      <c r="M77" s="513">
        <v>0.5</v>
      </c>
      <c r="N77" s="2486"/>
      <c r="O77" s="2529"/>
      <c r="P77" s="2488"/>
      <c r="Q77" s="2527"/>
      <c r="R77" s="2534"/>
      <c r="S77" s="2527"/>
      <c r="T77" s="2527"/>
      <c r="U77" s="2527"/>
      <c r="V77" s="449"/>
      <c r="W77" s="2478"/>
    </row>
    <row r="78" spans="1:24" ht="39" hidden="1" customHeight="1">
      <c r="A78" s="2558"/>
      <c r="B78" s="2540"/>
      <c r="C78" s="2537"/>
      <c r="D78" s="735" t="s">
        <v>1121</v>
      </c>
      <c r="E78" s="717">
        <f>SUM(E75:E77)</f>
        <v>109.13</v>
      </c>
      <c r="F78" s="716"/>
      <c r="G78" s="717">
        <f t="shared" ref="G78" si="28">SUM(G75:G77)</f>
        <v>139.48699999999999</v>
      </c>
      <c r="H78" s="717">
        <f t="shared" ref="H78:M78" si="29">SUM(H75:H77)</f>
        <v>139.63300000000001</v>
      </c>
      <c r="I78" s="717">
        <f t="shared" si="29"/>
        <v>0</v>
      </c>
      <c r="J78" s="718">
        <f t="shared" si="29"/>
        <v>152.72999999999999</v>
      </c>
      <c r="K78" s="717">
        <f t="shared" si="29"/>
        <v>182.29999999999998</v>
      </c>
      <c r="L78" s="717">
        <f t="shared" si="29"/>
        <v>183.89</v>
      </c>
      <c r="M78" s="717">
        <f t="shared" si="29"/>
        <v>193.17000000000002</v>
      </c>
      <c r="N78" s="2486"/>
      <c r="O78" s="2529"/>
      <c r="P78" s="2488"/>
      <c r="Q78" s="2527"/>
      <c r="R78" s="2534"/>
      <c r="S78" s="2527"/>
      <c r="T78" s="2527"/>
      <c r="U78" s="2527"/>
      <c r="V78" s="449"/>
      <c r="W78" s="2478"/>
    </row>
    <row r="79" spans="1:24" ht="34.5" customHeight="1">
      <c r="A79" s="2560" t="s">
        <v>2040</v>
      </c>
      <c r="B79" s="2367" t="s">
        <v>1123</v>
      </c>
      <c r="C79" s="2553" t="s">
        <v>1080</v>
      </c>
      <c r="D79" s="299" t="s">
        <v>1124</v>
      </c>
      <c r="E79" s="225">
        <f>SUM(E85,E91,E97,E103,E109,E115,E121,E127,E133,E139,E145,E151,E159,)</f>
        <v>7901.3199999999988</v>
      </c>
      <c r="F79" s="318">
        <f>H79/E79-1</f>
        <v>0.11304693393002685</v>
      </c>
      <c r="G79" s="225">
        <f t="shared" ref="G79" si="30">SUM(G85,G91,G97,G103,G109,G115,G121,G127,G133,G139,G145,G151,G159,)</f>
        <v>8096.7530000000015</v>
      </c>
      <c r="H79" s="225">
        <f>SUM(H85,H91,H97,H103,H109,H115,H121,H127,H133,H139,H145,H151,H159,)</f>
        <v>8794.5399999999991</v>
      </c>
      <c r="I79" s="645">
        <f t="shared" ref="I79:I84" si="31">K79/H79-1</f>
        <v>0.19201231673288199</v>
      </c>
      <c r="J79" s="230"/>
      <c r="K79" s="225">
        <f>SUM(K85,K91,K97,K103,K109,K115,K121,K127,K133,K139,K145,K151,K159,)</f>
        <v>10483.199999999999</v>
      </c>
      <c r="L79" s="225">
        <f t="shared" ref="L79" si="32">SUM(L85,L91,L97,L103,L109,L115,L121,L127,L133,L139,L145,L151,L159,)</f>
        <v>11126.04</v>
      </c>
      <c r="M79" s="225">
        <f>SUM(M85,M91,M97,M103,M109,M115,M121,M127,M133,M139,M145,M151,M159,)</f>
        <v>11741.550000000001</v>
      </c>
      <c r="N79" s="2486"/>
      <c r="O79" s="2395" t="s">
        <v>4252</v>
      </c>
      <c r="P79" s="2488"/>
      <c r="Q79" s="2475" t="s">
        <v>1656</v>
      </c>
      <c r="R79" s="2342" t="s">
        <v>2991</v>
      </c>
      <c r="S79" s="2475" t="s">
        <v>578</v>
      </c>
      <c r="T79" s="2475" t="s">
        <v>578</v>
      </c>
      <c r="U79" s="2475" t="s">
        <v>578</v>
      </c>
      <c r="V79" s="2506" t="s">
        <v>578</v>
      </c>
      <c r="W79" s="2478"/>
    </row>
    <row r="80" spans="1:24" ht="27.75" customHeight="1">
      <c r="A80" s="2561"/>
      <c r="B80" s="2367"/>
      <c r="C80" s="2554"/>
      <c r="D80" s="299" t="s">
        <v>1079</v>
      </c>
      <c r="E80" s="225"/>
      <c r="F80" s="318"/>
      <c r="G80" s="225"/>
      <c r="H80" s="225"/>
      <c r="I80" s="645"/>
      <c r="J80" s="230"/>
      <c r="K80" s="225"/>
      <c r="L80" s="225"/>
      <c r="M80" s="225"/>
      <c r="N80" s="2486"/>
      <c r="O80" s="2396"/>
      <c r="P80" s="2488"/>
      <c r="Q80" s="2475"/>
      <c r="R80" s="2342"/>
      <c r="S80" s="2475"/>
      <c r="T80" s="2475"/>
      <c r="U80" s="2475"/>
      <c r="V80" s="2506"/>
      <c r="W80" s="2478"/>
    </row>
    <row r="81" spans="1:23" ht="31.5" customHeight="1">
      <c r="A81" s="2561"/>
      <c r="B81" s="2367"/>
      <c r="C81" s="2554"/>
      <c r="D81" s="299" t="s">
        <v>471</v>
      </c>
      <c r="E81" s="225">
        <f>SUM(E87,E99,E105,E111,E129,E141,E153,E93,E135,)</f>
        <v>249.03999999999996</v>
      </c>
      <c r="F81" s="318">
        <f t="shared" ref="F81:F84" si="33">H81/E81-1</f>
        <v>1.2650578220366211</v>
      </c>
      <c r="G81" s="225">
        <f t="shared" ref="G81" si="34">SUM(G87,G99,G105,G111,G129,G141,G153,G93,G135,)</f>
        <v>685.43700000000001</v>
      </c>
      <c r="H81" s="225">
        <f>SUM(H87,H99,H105,H111,H129,H141,H153,H93,H135,H123,H157)</f>
        <v>564.09</v>
      </c>
      <c r="I81" s="645">
        <f t="shared" si="31"/>
        <v>-0.16298817564573043</v>
      </c>
      <c r="J81" s="230">
        <v>631.4</v>
      </c>
      <c r="K81" s="225">
        <f>SUM(K87,K93,K99,K105,K111,K117,K123,K129,K135,K141,K153,K157,)</f>
        <v>472.15</v>
      </c>
      <c r="L81" s="225">
        <f>SUM(L87,L93,L99,L105,L111,L117,L123,L129,L135,L141,L153,L157,)</f>
        <v>640.69999999999993</v>
      </c>
      <c r="M81" s="225">
        <f t="shared" ref="M81" si="35">SUM(M87,M93,M99,M105,M111,M117,M123,M129,M135,M141,M153,M157,)</f>
        <v>674.30000000000007</v>
      </c>
      <c r="N81" s="2486"/>
      <c r="O81" s="2396"/>
      <c r="P81" s="2488"/>
      <c r="Q81" s="2475"/>
      <c r="R81" s="2342"/>
      <c r="S81" s="2475"/>
      <c r="T81" s="2475"/>
      <c r="U81" s="2475"/>
      <c r="V81" s="2506"/>
      <c r="W81" s="2478"/>
    </row>
    <row r="82" spans="1:23" ht="34.5" customHeight="1">
      <c r="A82" s="2561"/>
      <c r="B82" s="2367"/>
      <c r="C82" s="2554"/>
      <c r="D82" s="299" t="s">
        <v>1122</v>
      </c>
      <c r="E82" s="225"/>
      <c r="F82" s="318"/>
      <c r="G82" s="225"/>
      <c r="H82" s="225">
        <f>SUM(H88,H94,H100,H106,H112,H118,H124,H130,H136,H142,H148,H154,)</f>
        <v>42.247999999999998</v>
      </c>
      <c r="I82" s="645">
        <f t="shared" si="31"/>
        <v>3.1701382313955691</v>
      </c>
      <c r="J82" s="230"/>
      <c r="K82" s="225">
        <f>SUM(K88,K94,K100,K106,K112,K136,K158)</f>
        <v>176.18</v>
      </c>
      <c r="L82" s="225">
        <f t="shared" ref="L82:M82" si="36">SUM(L88,L94,L100,L106,L112,L136,L158)</f>
        <v>184.11699999999999</v>
      </c>
      <c r="M82" s="225">
        <f t="shared" si="36"/>
        <v>184.11699999999999</v>
      </c>
      <c r="N82" s="2486"/>
      <c r="O82" s="2396"/>
      <c r="P82" s="2488"/>
      <c r="Q82" s="2475"/>
      <c r="R82" s="2342"/>
      <c r="S82" s="2475"/>
      <c r="T82" s="2475"/>
      <c r="U82" s="2475"/>
      <c r="V82" s="2506"/>
      <c r="W82" s="2478"/>
    </row>
    <row r="83" spans="1:23" ht="30" customHeight="1">
      <c r="A83" s="2561"/>
      <c r="B83" s="2367"/>
      <c r="C83" s="2554"/>
      <c r="D83" s="299" t="s">
        <v>712</v>
      </c>
      <c r="E83" s="225"/>
      <c r="F83" s="318"/>
      <c r="G83" s="225"/>
      <c r="H83" s="225"/>
      <c r="I83" s="645"/>
      <c r="J83" s="230"/>
      <c r="K83" s="225"/>
      <c r="L83" s="225"/>
      <c r="M83" s="225"/>
      <c r="N83" s="2486"/>
      <c r="O83" s="2396"/>
      <c r="P83" s="2488"/>
      <c r="Q83" s="2475"/>
      <c r="R83" s="2342"/>
      <c r="S83" s="2475"/>
      <c r="T83" s="2475"/>
      <c r="U83" s="2475"/>
      <c r="V83" s="2506"/>
      <c r="W83" s="2478"/>
    </row>
    <row r="84" spans="1:23" ht="39" customHeight="1">
      <c r="A84" s="2562"/>
      <c r="B84" s="2367"/>
      <c r="C84" s="2555"/>
      <c r="D84" s="334" t="s">
        <v>1121</v>
      </c>
      <c r="E84" s="327">
        <f>SUM(E79:E83)</f>
        <v>8150.3599999999988</v>
      </c>
      <c r="F84" s="321">
        <f t="shared" si="33"/>
        <v>0.15343101409017512</v>
      </c>
      <c r="G84" s="327">
        <f t="shared" ref="G84" si="37">SUM(G79:G83)</f>
        <v>8782.1900000000023</v>
      </c>
      <c r="H84" s="327">
        <f>SUM(H79:H83)</f>
        <v>9400.8779999999988</v>
      </c>
      <c r="I84" s="526">
        <f t="shared" si="31"/>
        <v>0.18409471966341862</v>
      </c>
      <c r="J84" s="327">
        <f t="shared" ref="J84:M84" si="38">SUM(J79:J83)</f>
        <v>631.4</v>
      </c>
      <c r="K84" s="327">
        <f>SUM(K79:K83)</f>
        <v>11131.529999999999</v>
      </c>
      <c r="L84" s="327">
        <f t="shared" si="38"/>
        <v>11950.857000000002</v>
      </c>
      <c r="M84" s="327">
        <f t="shared" si="38"/>
        <v>12599.967000000001</v>
      </c>
      <c r="N84" s="2487"/>
      <c r="O84" s="2396"/>
      <c r="P84" s="2488"/>
      <c r="Q84" s="2475"/>
      <c r="R84" s="2342"/>
      <c r="S84" s="2475"/>
      <c r="T84" s="2475"/>
      <c r="U84" s="2475"/>
      <c r="V84" s="2506"/>
      <c r="W84" s="2478"/>
    </row>
    <row r="85" spans="1:23" ht="39" hidden="1" customHeight="1">
      <c r="A85" s="2556"/>
      <c r="B85" s="2563" t="s">
        <v>1114</v>
      </c>
      <c r="C85" s="2623">
        <v>190230641</v>
      </c>
      <c r="D85" s="539" t="s">
        <v>1124</v>
      </c>
      <c r="E85" s="531">
        <v>534.77499999999998</v>
      </c>
      <c r="F85" s="532"/>
      <c r="G85" s="513">
        <v>451.24</v>
      </c>
      <c r="H85" s="513">
        <v>534</v>
      </c>
      <c r="I85" s="513"/>
      <c r="J85" s="515">
        <v>725.78</v>
      </c>
      <c r="K85" s="513">
        <v>552.16</v>
      </c>
      <c r="L85" s="831">
        <v>589.20000000000005</v>
      </c>
      <c r="M85" s="831">
        <v>621.83000000000004</v>
      </c>
      <c r="N85" s="1326"/>
      <c r="O85" s="2528"/>
      <c r="P85" s="2488"/>
      <c r="Q85" s="2527"/>
      <c r="R85" s="2534"/>
      <c r="S85" s="2527"/>
      <c r="T85" s="2527"/>
      <c r="U85" s="2527"/>
      <c r="V85" s="449"/>
      <c r="W85" s="2478"/>
    </row>
    <row r="86" spans="1:23" ht="39" hidden="1" customHeight="1">
      <c r="A86" s="2557"/>
      <c r="B86" s="2563"/>
      <c r="C86" s="2623"/>
      <c r="D86" s="539" t="s">
        <v>1075</v>
      </c>
      <c r="E86" s="513"/>
      <c r="F86" s="532"/>
      <c r="G86" s="513"/>
      <c r="H86" s="513"/>
      <c r="I86" s="513"/>
      <c r="J86" s="515"/>
      <c r="K86" s="513"/>
      <c r="L86" s="513"/>
      <c r="M86" s="513"/>
      <c r="N86" s="1326"/>
      <c r="O86" s="2528"/>
      <c r="P86" s="2488"/>
      <c r="Q86" s="2527"/>
      <c r="R86" s="2534"/>
      <c r="S86" s="2527"/>
      <c r="T86" s="2527"/>
      <c r="U86" s="2527"/>
      <c r="V86" s="449"/>
      <c r="W86" s="2478"/>
    </row>
    <row r="87" spans="1:23" ht="39" hidden="1" customHeight="1">
      <c r="A87" s="2557"/>
      <c r="B87" s="2563"/>
      <c r="C87" s="2623"/>
      <c r="D87" s="539" t="s">
        <v>471</v>
      </c>
      <c r="E87" s="531">
        <v>18</v>
      </c>
      <c r="F87" s="532"/>
      <c r="G87" s="513">
        <v>163.065</v>
      </c>
      <c r="H87" s="514">
        <f>43.14-12.6</f>
        <v>30.54</v>
      </c>
      <c r="I87" s="514"/>
      <c r="J87" s="534">
        <v>114.48</v>
      </c>
      <c r="K87" s="514">
        <v>34.58</v>
      </c>
      <c r="L87" s="514">
        <v>0</v>
      </c>
      <c r="M87" s="514">
        <v>0</v>
      </c>
      <c r="N87" s="1326"/>
      <c r="O87" s="2528"/>
      <c r="P87" s="2488"/>
      <c r="Q87" s="2527"/>
      <c r="R87" s="2534"/>
      <c r="S87" s="2527"/>
      <c r="T87" s="2527"/>
      <c r="U87" s="2527"/>
      <c r="V87" s="449"/>
      <c r="W87" s="2478"/>
    </row>
    <row r="88" spans="1:23" ht="39" hidden="1" customHeight="1">
      <c r="A88" s="2557"/>
      <c r="B88" s="2563"/>
      <c r="C88" s="2623"/>
      <c r="D88" s="539" t="s">
        <v>1125</v>
      </c>
      <c r="E88" s="513"/>
      <c r="F88" s="532"/>
      <c r="G88" s="513"/>
      <c r="H88" s="513"/>
      <c r="I88" s="513"/>
      <c r="J88" s="515"/>
      <c r="K88" s="830">
        <v>16.600000000000001</v>
      </c>
      <c r="L88" s="513">
        <v>17.88</v>
      </c>
      <c r="M88" s="513">
        <f>L88</f>
        <v>17.88</v>
      </c>
      <c r="N88" s="1326"/>
      <c r="O88" s="2528"/>
      <c r="P88" s="2488"/>
      <c r="Q88" s="2527"/>
      <c r="R88" s="2534"/>
      <c r="S88" s="2527"/>
      <c r="T88" s="2527"/>
      <c r="U88" s="2527"/>
      <c r="V88" s="449"/>
      <c r="W88" s="2478"/>
    </row>
    <row r="89" spans="1:23" ht="39" hidden="1" customHeight="1">
      <c r="A89" s="2557"/>
      <c r="B89" s="2563"/>
      <c r="C89" s="2623"/>
      <c r="D89" s="539" t="s">
        <v>1126</v>
      </c>
      <c r="E89" s="513"/>
      <c r="F89" s="532"/>
      <c r="G89" s="513"/>
      <c r="H89" s="513"/>
      <c r="I89" s="513"/>
      <c r="J89" s="515"/>
      <c r="K89" s="513"/>
      <c r="L89" s="513"/>
      <c r="M89" s="513"/>
      <c r="N89" s="1326"/>
      <c r="O89" s="2528"/>
      <c r="P89" s="2488"/>
      <c r="Q89" s="2527"/>
      <c r="R89" s="2534"/>
      <c r="S89" s="2527"/>
      <c r="T89" s="2527"/>
      <c r="U89" s="2527"/>
      <c r="V89" s="449"/>
      <c r="W89" s="2478"/>
    </row>
    <row r="90" spans="1:23" ht="39" hidden="1" customHeight="1">
      <c r="A90" s="2557"/>
      <c r="B90" s="2563"/>
      <c r="C90" s="2623"/>
      <c r="D90" s="736" t="s">
        <v>1121</v>
      </c>
      <c r="E90" s="737">
        <f>SUM(E85:E89)</f>
        <v>552.77499999999998</v>
      </c>
      <c r="F90" s="716"/>
      <c r="G90" s="737"/>
      <c r="H90" s="737">
        <f>SUM(H85,H86,H87,H88,H89,)</f>
        <v>564.54</v>
      </c>
      <c r="I90" s="737">
        <f t="shared" ref="I90:M90" si="39">SUM(I85,I86,I87,I88,I89,)</f>
        <v>0</v>
      </c>
      <c r="J90" s="738">
        <f t="shared" si="39"/>
        <v>840.26</v>
      </c>
      <c r="K90" s="737">
        <f t="shared" si="39"/>
        <v>603.34</v>
      </c>
      <c r="L90" s="737">
        <f t="shared" si="39"/>
        <v>607.08000000000004</v>
      </c>
      <c r="M90" s="737">
        <f t="shared" si="39"/>
        <v>639.71</v>
      </c>
      <c r="N90" s="1326"/>
      <c r="O90" s="233"/>
      <c r="P90" s="2488"/>
      <c r="Q90" s="325"/>
      <c r="R90" s="324"/>
      <c r="S90" s="325"/>
      <c r="T90" s="325"/>
      <c r="U90" s="325"/>
      <c r="V90" s="449"/>
      <c r="W90" s="2478"/>
    </row>
    <row r="91" spans="1:23" ht="39" hidden="1" customHeight="1">
      <c r="A91" s="2557"/>
      <c r="B91" s="2563" t="s">
        <v>1115</v>
      </c>
      <c r="C91" s="2623">
        <v>190230443</v>
      </c>
      <c r="D91" s="539" t="s">
        <v>1124</v>
      </c>
      <c r="E91" s="514">
        <v>550.88499999999999</v>
      </c>
      <c r="F91" s="532"/>
      <c r="G91" s="513">
        <v>525.09100000000001</v>
      </c>
      <c r="H91" s="513">
        <f>599.435+7.28</f>
        <v>606.71499999999992</v>
      </c>
      <c r="I91" s="513"/>
      <c r="J91" s="515">
        <v>839.21900000000005</v>
      </c>
      <c r="K91" s="513">
        <v>702.05</v>
      </c>
      <c r="L91" s="831">
        <v>752.33</v>
      </c>
      <c r="M91" s="831">
        <v>793.78</v>
      </c>
      <c r="N91" s="1326"/>
      <c r="O91" s="2528"/>
      <c r="P91" s="2488"/>
      <c r="Q91" s="2527"/>
      <c r="R91" s="2534"/>
      <c r="S91" s="2527"/>
      <c r="T91" s="2527"/>
      <c r="U91" s="2527"/>
      <c r="V91" s="449"/>
      <c r="W91" s="2478"/>
    </row>
    <row r="92" spans="1:23" ht="39" hidden="1" customHeight="1">
      <c r="A92" s="2557"/>
      <c r="B92" s="2563"/>
      <c r="C92" s="2623"/>
      <c r="D92" s="539" t="s">
        <v>1075</v>
      </c>
      <c r="E92" s="531"/>
      <c r="F92" s="532"/>
      <c r="G92" s="514"/>
      <c r="H92" s="514"/>
      <c r="I92" s="514"/>
      <c r="J92" s="534"/>
      <c r="K92" s="514"/>
      <c r="L92" s="514"/>
      <c r="M92" s="514"/>
      <c r="N92" s="1326"/>
      <c r="O92" s="2528"/>
      <c r="P92" s="2488"/>
      <c r="Q92" s="2527"/>
      <c r="R92" s="2534"/>
      <c r="S92" s="2527"/>
      <c r="T92" s="2527"/>
      <c r="U92" s="2527"/>
      <c r="V92" s="449"/>
      <c r="W92" s="2478"/>
    </row>
    <row r="93" spans="1:23" ht="39" hidden="1" customHeight="1">
      <c r="A93" s="2557"/>
      <c r="B93" s="2563"/>
      <c r="C93" s="2623"/>
      <c r="D93" s="539" t="s">
        <v>471</v>
      </c>
      <c r="E93" s="513">
        <v>9.73</v>
      </c>
      <c r="F93" s="532"/>
      <c r="G93" s="513">
        <v>137.452</v>
      </c>
      <c r="H93" s="514">
        <f>38.14-19.17</f>
        <v>18.97</v>
      </c>
      <c r="I93" s="514"/>
      <c r="J93" s="534">
        <v>191.839</v>
      </c>
      <c r="K93" s="514">
        <v>45.27</v>
      </c>
      <c r="L93" s="514">
        <v>0</v>
      </c>
      <c r="M93" s="514">
        <v>0</v>
      </c>
      <c r="N93" s="1326"/>
      <c r="O93" s="2528"/>
      <c r="P93" s="2488"/>
      <c r="Q93" s="2527"/>
      <c r="R93" s="2534"/>
      <c r="S93" s="2527"/>
      <c r="T93" s="2527"/>
      <c r="U93" s="2527"/>
      <c r="V93" s="449"/>
      <c r="W93" s="2478"/>
    </row>
    <row r="94" spans="1:23" ht="39" hidden="1" customHeight="1">
      <c r="A94" s="2557"/>
      <c r="B94" s="2563"/>
      <c r="C94" s="2623"/>
      <c r="D94" s="539" t="s">
        <v>1125</v>
      </c>
      <c r="E94" s="513"/>
      <c r="F94" s="532"/>
      <c r="G94" s="513"/>
      <c r="H94" s="513"/>
      <c r="I94" s="513"/>
      <c r="J94" s="515"/>
      <c r="K94" s="830">
        <v>20.27</v>
      </c>
      <c r="L94" s="513">
        <v>21.83</v>
      </c>
      <c r="M94" s="513">
        <f>L94</f>
        <v>21.83</v>
      </c>
      <c r="N94" s="1326"/>
      <c r="O94" s="2528"/>
      <c r="P94" s="2488"/>
      <c r="Q94" s="2527"/>
      <c r="R94" s="2534"/>
      <c r="S94" s="2527"/>
      <c r="T94" s="2527"/>
      <c r="U94" s="2527"/>
      <c r="V94" s="449"/>
      <c r="W94" s="2478"/>
    </row>
    <row r="95" spans="1:23" ht="39" hidden="1" customHeight="1">
      <c r="A95" s="2557"/>
      <c r="B95" s="2563"/>
      <c r="C95" s="2623"/>
      <c r="D95" s="539" t="s">
        <v>1126</v>
      </c>
      <c r="E95" s="513"/>
      <c r="F95" s="532"/>
      <c r="G95" s="513"/>
      <c r="H95" s="513"/>
      <c r="I95" s="513"/>
      <c r="J95" s="515"/>
      <c r="K95" s="513"/>
      <c r="L95" s="513"/>
      <c r="M95" s="513"/>
      <c r="N95" s="1326"/>
      <c r="O95" s="2528"/>
      <c r="P95" s="2488"/>
      <c r="Q95" s="2527"/>
      <c r="R95" s="2534"/>
      <c r="S95" s="2527"/>
      <c r="T95" s="2527"/>
      <c r="U95" s="2527"/>
      <c r="V95" s="449"/>
      <c r="W95" s="2478"/>
    </row>
    <row r="96" spans="1:23" ht="39" hidden="1" customHeight="1">
      <c r="A96" s="2557"/>
      <c r="B96" s="2563"/>
      <c r="C96" s="2623"/>
      <c r="D96" s="736" t="s">
        <v>1121</v>
      </c>
      <c r="E96" s="737">
        <f>SUM(E91:E95)</f>
        <v>560.61500000000001</v>
      </c>
      <c r="F96" s="716"/>
      <c r="G96" s="737">
        <f t="shared" ref="G96" si="40">SUM(G91:G95)</f>
        <v>662.54300000000001</v>
      </c>
      <c r="H96" s="737">
        <f t="shared" ref="H96:M96" si="41">SUM(H91:H95)</f>
        <v>625.68499999999995</v>
      </c>
      <c r="I96" s="737">
        <f t="shared" si="41"/>
        <v>0</v>
      </c>
      <c r="J96" s="738">
        <f t="shared" si="41"/>
        <v>1031.058</v>
      </c>
      <c r="K96" s="737">
        <f t="shared" si="41"/>
        <v>767.58999999999992</v>
      </c>
      <c r="L96" s="737">
        <f t="shared" si="41"/>
        <v>774.16000000000008</v>
      </c>
      <c r="M96" s="737">
        <f t="shared" si="41"/>
        <v>815.61</v>
      </c>
      <c r="N96" s="1326"/>
      <c r="O96" s="326"/>
      <c r="P96" s="2488"/>
      <c r="Q96" s="325"/>
      <c r="R96" s="324"/>
      <c r="S96" s="325"/>
      <c r="T96" s="325"/>
      <c r="U96" s="325"/>
      <c r="V96" s="449"/>
      <c r="W96" s="2478"/>
    </row>
    <row r="97" spans="1:23" ht="39" hidden="1" customHeight="1">
      <c r="A97" s="2557"/>
      <c r="B97" s="2563" t="s">
        <v>1116</v>
      </c>
      <c r="C97" s="2623">
        <v>190231730</v>
      </c>
      <c r="D97" s="539" t="s">
        <v>1124</v>
      </c>
      <c r="E97" s="531">
        <v>419.01499999999999</v>
      </c>
      <c r="F97" s="532"/>
      <c r="G97" s="514">
        <v>454.89</v>
      </c>
      <c r="H97" s="514">
        <v>483.96499999999997</v>
      </c>
      <c r="I97" s="514"/>
      <c r="J97" s="534">
        <v>617.17499999999995</v>
      </c>
      <c r="K97" s="514">
        <v>586.61</v>
      </c>
      <c r="L97" s="851">
        <v>627.5</v>
      </c>
      <c r="M97" s="851">
        <v>662.78</v>
      </c>
      <c r="N97" s="1326"/>
      <c r="O97" s="2528"/>
      <c r="P97" s="2488"/>
      <c r="Q97" s="2527"/>
      <c r="R97" s="2534"/>
      <c r="S97" s="2527"/>
      <c r="T97" s="2527"/>
      <c r="U97" s="2527"/>
      <c r="V97" s="449"/>
      <c r="W97" s="2478"/>
    </row>
    <row r="98" spans="1:23" ht="39" hidden="1" customHeight="1">
      <c r="A98" s="2557"/>
      <c r="B98" s="2563"/>
      <c r="C98" s="2623"/>
      <c r="D98" s="539" t="s">
        <v>1075</v>
      </c>
      <c r="E98" s="514"/>
      <c r="F98" s="532"/>
      <c r="G98" s="514"/>
      <c r="H98" s="514"/>
      <c r="I98" s="514"/>
      <c r="J98" s="534"/>
      <c r="K98" s="514"/>
      <c r="L98" s="514"/>
      <c r="M98" s="514"/>
      <c r="N98" s="1326"/>
      <c r="O98" s="2529"/>
      <c r="P98" s="2488"/>
      <c r="Q98" s="2527"/>
      <c r="R98" s="2534"/>
      <c r="S98" s="2527"/>
      <c r="T98" s="2527"/>
      <c r="U98" s="2527"/>
      <c r="V98" s="449"/>
      <c r="W98" s="2478"/>
    </row>
    <row r="99" spans="1:23" ht="39" hidden="1" customHeight="1">
      <c r="A99" s="2557"/>
      <c r="B99" s="2563"/>
      <c r="C99" s="2623"/>
      <c r="D99" s="539" t="s">
        <v>471</v>
      </c>
      <c r="E99" s="513">
        <v>10.029999999999999</v>
      </c>
      <c r="F99" s="532"/>
      <c r="G99" s="513">
        <v>97.53</v>
      </c>
      <c r="H99" s="514">
        <f>48.86-10.95</f>
        <v>37.909999999999997</v>
      </c>
      <c r="I99" s="514"/>
      <c r="J99" s="534">
        <v>98.27</v>
      </c>
      <c r="K99" s="514">
        <v>28.2</v>
      </c>
      <c r="L99" s="514">
        <v>0</v>
      </c>
      <c r="M99" s="514">
        <v>0</v>
      </c>
      <c r="N99" s="1326"/>
      <c r="O99" s="2529"/>
      <c r="P99" s="2488"/>
      <c r="Q99" s="2527"/>
      <c r="R99" s="2534"/>
      <c r="S99" s="2527"/>
      <c r="T99" s="2527"/>
      <c r="U99" s="2527"/>
      <c r="V99" s="449"/>
      <c r="W99" s="2478"/>
    </row>
    <row r="100" spans="1:23" ht="39" hidden="1" customHeight="1">
      <c r="A100" s="2557"/>
      <c r="B100" s="2563"/>
      <c r="C100" s="2623"/>
      <c r="D100" s="539" t="s">
        <v>1125</v>
      </c>
      <c r="E100" s="513"/>
      <c r="F100" s="532"/>
      <c r="G100" s="513"/>
      <c r="H100" s="513"/>
      <c r="I100" s="513"/>
      <c r="J100" s="515"/>
      <c r="K100" s="830">
        <v>16.440000000000001</v>
      </c>
      <c r="L100" s="513">
        <v>17.71</v>
      </c>
      <c r="M100" s="513">
        <v>17.71</v>
      </c>
      <c r="N100" s="1326"/>
      <c r="O100" s="2529"/>
      <c r="P100" s="2488"/>
      <c r="Q100" s="2527"/>
      <c r="R100" s="2534"/>
      <c r="S100" s="2527"/>
      <c r="T100" s="2527"/>
      <c r="U100" s="2527"/>
      <c r="V100" s="449"/>
      <c r="W100" s="2478"/>
    </row>
    <row r="101" spans="1:23" ht="39" hidden="1" customHeight="1">
      <c r="A101" s="2557"/>
      <c r="B101" s="2563"/>
      <c r="C101" s="2623"/>
      <c r="D101" s="539" t="s">
        <v>1126</v>
      </c>
      <c r="E101" s="513"/>
      <c r="F101" s="532"/>
      <c r="G101" s="513"/>
      <c r="H101" s="513"/>
      <c r="I101" s="513"/>
      <c r="J101" s="515"/>
      <c r="K101" s="513"/>
      <c r="L101" s="1209"/>
      <c r="M101" s="513"/>
      <c r="N101" s="1326"/>
      <c r="O101" s="2529"/>
      <c r="P101" s="2488"/>
      <c r="Q101" s="2527"/>
      <c r="R101" s="2534"/>
      <c r="S101" s="2527"/>
      <c r="T101" s="2527"/>
      <c r="U101" s="2527"/>
      <c r="V101" s="449"/>
      <c r="W101" s="2478"/>
    </row>
    <row r="102" spans="1:23" ht="39" hidden="1" customHeight="1">
      <c r="A102" s="2557"/>
      <c r="B102" s="2563"/>
      <c r="C102" s="2623"/>
      <c r="D102" s="736" t="s">
        <v>1121</v>
      </c>
      <c r="E102" s="737">
        <f>SUM(E97:E101)</f>
        <v>429.04499999999996</v>
      </c>
      <c r="F102" s="716"/>
      <c r="G102" s="737">
        <f t="shared" ref="G102" si="42">SUM(G97:G101)</f>
        <v>552.41999999999996</v>
      </c>
      <c r="H102" s="737">
        <f t="shared" ref="H102:M102" si="43">SUM(H97:H101)</f>
        <v>521.875</v>
      </c>
      <c r="I102" s="737"/>
      <c r="J102" s="738">
        <f t="shared" si="43"/>
        <v>715.44499999999994</v>
      </c>
      <c r="K102" s="737">
        <f t="shared" si="43"/>
        <v>631.25000000000011</v>
      </c>
      <c r="L102" s="737">
        <f t="shared" si="43"/>
        <v>645.21</v>
      </c>
      <c r="M102" s="737">
        <f t="shared" si="43"/>
        <v>680.49</v>
      </c>
      <c r="N102" s="1326"/>
      <c r="O102" s="2529"/>
      <c r="P102" s="2488"/>
      <c r="Q102" s="2527"/>
      <c r="R102" s="2534"/>
      <c r="S102" s="2527"/>
      <c r="T102" s="2527"/>
      <c r="U102" s="2527"/>
      <c r="V102" s="449"/>
      <c r="W102" s="2478"/>
    </row>
    <row r="103" spans="1:23" ht="39" hidden="1" customHeight="1">
      <c r="A103" s="2557"/>
      <c r="B103" s="2563" t="s">
        <v>1143</v>
      </c>
      <c r="C103" s="2623">
        <v>190231011</v>
      </c>
      <c r="D103" s="539" t="s">
        <v>1124</v>
      </c>
      <c r="E103" s="531">
        <v>448.51</v>
      </c>
      <c r="F103" s="532"/>
      <c r="G103" s="514">
        <v>387.82299999999998</v>
      </c>
      <c r="H103" s="514">
        <v>459.17500000000001</v>
      </c>
      <c r="I103" s="514"/>
      <c r="J103" s="534">
        <v>572.23500000000001</v>
      </c>
      <c r="K103" s="514">
        <v>494.83</v>
      </c>
      <c r="L103" s="514">
        <v>512.45000000000005</v>
      </c>
      <c r="M103" s="514">
        <v>541.66999999999996</v>
      </c>
      <c r="N103" s="1326"/>
      <c r="O103" s="2528"/>
      <c r="P103" s="2488"/>
      <c r="Q103" s="2527"/>
      <c r="R103" s="2534"/>
      <c r="S103" s="2527"/>
      <c r="T103" s="2527"/>
      <c r="U103" s="2527"/>
      <c r="V103" s="449"/>
      <c r="W103" s="2478"/>
    </row>
    <row r="104" spans="1:23" ht="39" hidden="1" customHeight="1">
      <c r="A104" s="2557"/>
      <c r="B104" s="2563"/>
      <c r="C104" s="2623"/>
      <c r="D104" s="539" t="s">
        <v>1075</v>
      </c>
      <c r="E104" s="514"/>
      <c r="F104" s="532"/>
      <c r="G104" s="514"/>
      <c r="H104" s="514"/>
      <c r="I104" s="514"/>
      <c r="J104" s="534"/>
      <c r="K104" s="514"/>
      <c r="L104" s="514"/>
      <c r="M104" s="514"/>
      <c r="N104" s="1326"/>
      <c r="O104" s="2529"/>
      <c r="P104" s="2488"/>
      <c r="Q104" s="2527"/>
      <c r="R104" s="2534"/>
      <c r="S104" s="2527"/>
      <c r="T104" s="2527"/>
      <c r="U104" s="2527"/>
      <c r="V104" s="449"/>
      <c r="W104" s="2478"/>
    </row>
    <row r="105" spans="1:23" ht="39" hidden="1" customHeight="1">
      <c r="A105" s="2557"/>
      <c r="B105" s="2563"/>
      <c r="C105" s="2623"/>
      <c r="D105" s="539" t="s">
        <v>471</v>
      </c>
      <c r="E105" s="531">
        <v>15.02</v>
      </c>
      <c r="F105" s="532"/>
      <c r="G105" s="513">
        <v>153.61000000000001</v>
      </c>
      <c r="H105" s="514">
        <f>85.52-13.7</f>
        <v>71.819999999999993</v>
      </c>
      <c r="I105" s="514"/>
      <c r="J105" s="534">
        <v>116.21</v>
      </c>
      <c r="K105" s="514">
        <v>54.34</v>
      </c>
      <c r="L105" s="514">
        <v>0</v>
      </c>
      <c r="M105" s="514">
        <v>0</v>
      </c>
      <c r="N105" s="1326"/>
      <c r="O105" s="2529"/>
      <c r="P105" s="2488"/>
      <c r="Q105" s="2527"/>
      <c r="R105" s="2534"/>
      <c r="S105" s="2527"/>
      <c r="T105" s="2527"/>
      <c r="U105" s="2527"/>
      <c r="V105" s="449"/>
      <c r="W105" s="2478"/>
    </row>
    <row r="106" spans="1:23" ht="39" hidden="1" customHeight="1">
      <c r="A106" s="2557"/>
      <c r="B106" s="2563"/>
      <c r="C106" s="2623"/>
      <c r="D106" s="539" t="s">
        <v>1125</v>
      </c>
      <c r="E106" s="513"/>
      <c r="F106" s="532"/>
      <c r="G106" s="513"/>
      <c r="H106" s="513"/>
      <c r="I106" s="513"/>
      <c r="J106" s="515"/>
      <c r="K106" s="830">
        <v>16.77</v>
      </c>
      <c r="L106" s="513">
        <v>18.059999999999999</v>
      </c>
      <c r="M106" s="513">
        <v>18.059999999999999</v>
      </c>
      <c r="N106" s="1326"/>
      <c r="O106" s="2529"/>
      <c r="P106" s="2488"/>
      <c r="Q106" s="2527"/>
      <c r="R106" s="2534"/>
      <c r="S106" s="2527"/>
      <c r="T106" s="2527"/>
      <c r="U106" s="2527"/>
      <c r="V106" s="449"/>
      <c r="W106" s="2478"/>
    </row>
    <row r="107" spans="1:23" ht="39" hidden="1" customHeight="1">
      <c r="A107" s="2557"/>
      <c r="B107" s="2563"/>
      <c r="C107" s="2623"/>
      <c r="D107" s="539" t="s">
        <v>1126</v>
      </c>
      <c r="E107" s="513"/>
      <c r="F107" s="532"/>
      <c r="G107" s="513"/>
      <c r="H107" s="513"/>
      <c r="I107" s="513"/>
      <c r="J107" s="515"/>
      <c r="K107" s="513"/>
      <c r="L107" s="513"/>
      <c r="M107" s="513"/>
      <c r="N107" s="1326"/>
      <c r="O107" s="2529"/>
      <c r="P107" s="2488"/>
      <c r="Q107" s="2527"/>
      <c r="R107" s="2534"/>
      <c r="S107" s="2527"/>
      <c r="T107" s="2527"/>
      <c r="U107" s="2527"/>
      <c r="V107" s="449"/>
      <c r="W107" s="2478"/>
    </row>
    <row r="108" spans="1:23" ht="39" hidden="1" customHeight="1">
      <c r="A108" s="2557"/>
      <c r="B108" s="2563"/>
      <c r="C108" s="2623"/>
      <c r="D108" s="736" t="s">
        <v>1121</v>
      </c>
      <c r="E108" s="737">
        <f>SUM(E103:E107)</f>
        <v>463.53</v>
      </c>
      <c r="F108" s="716"/>
      <c r="G108" s="737">
        <f t="shared" ref="G108" si="44">SUM(G103:G107)</f>
        <v>541.43299999999999</v>
      </c>
      <c r="H108" s="737">
        <f t="shared" ref="H108:M108" si="45">SUM(H103:H107)</f>
        <v>530.995</v>
      </c>
      <c r="I108" s="737">
        <f t="shared" si="45"/>
        <v>0</v>
      </c>
      <c r="J108" s="738">
        <f t="shared" si="45"/>
        <v>688.44500000000005</v>
      </c>
      <c r="K108" s="737">
        <f t="shared" si="45"/>
        <v>565.93999999999994</v>
      </c>
      <c r="L108" s="737">
        <f t="shared" si="45"/>
        <v>530.51</v>
      </c>
      <c r="M108" s="737">
        <f t="shared" si="45"/>
        <v>559.7299999999999</v>
      </c>
      <c r="N108" s="1326"/>
      <c r="O108" s="2529"/>
      <c r="P108" s="2488"/>
      <c r="Q108" s="2527"/>
      <c r="R108" s="2534"/>
      <c r="S108" s="2527"/>
      <c r="T108" s="2527"/>
      <c r="U108" s="2527"/>
      <c r="V108" s="449"/>
      <c r="W108" s="2478"/>
    </row>
    <row r="109" spans="1:23" ht="39" hidden="1" customHeight="1">
      <c r="A109" s="2557"/>
      <c r="B109" s="2563" t="s">
        <v>1117</v>
      </c>
      <c r="C109" s="2623">
        <v>190230258</v>
      </c>
      <c r="D109" s="539" t="s">
        <v>1124</v>
      </c>
      <c r="E109" s="531">
        <v>299.5</v>
      </c>
      <c r="F109" s="532"/>
      <c r="G109" s="514">
        <v>284.33999999999997</v>
      </c>
      <c r="H109" s="514">
        <v>316.97000000000003</v>
      </c>
      <c r="I109" s="514"/>
      <c r="J109" s="534">
        <v>217.31</v>
      </c>
      <c r="K109" s="514">
        <v>320.04000000000002</v>
      </c>
      <c r="L109" s="514">
        <v>332.8</v>
      </c>
      <c r="M109" s="514">
        <v>351.5</v>
      </c>
      <c r="N109" s="1326"/>
      <c r="O109" s="2528"/>
      <c r="P109" s="2488"/>
      <c r="Q109" s="2527"/>
      <c r="R109" s="2534"/>
      <c r="S109" s="2527"/>
      <c r="T109" s="2527"/>
      <c r="U109" s="2527"/>
      <c r="V109" s="449"/>
      <c r="W109" s="2478"/>
    </row>
    <row r="110" spans="1:23" ht="39" hidden="1" customHeight="1">
      <c r="A110" s="2557"/>
      <c r="B110" s="2563"/>
      <c r="C110" s="2623"/>
      <c r="D110" s="539" t="s">
        <v>1075</v>
      </c>
      <c r="E110" s="514"/>
      <c r="F110" s="532"/>
      <c r="G110" s="514"/>
      <c r="H110" s="514"/>
      <c r="I110" s="514"/>
      <c r="J110" s="534"/>
      <c r="K110" s="514"/>
      <c r="L110" s="514"/>
      <c r="M110" s="514"/>
      <c r="N110" s="1326"/>
      <c r="O110" s="2529"/>
      <c r="P110" s="2488"/>
      <c r="Q110" s="2527"/>
      <c r="R110" s="2534"/>
      <c r="S110" s="2527"/>
      <c r="T110" s="2527"/>
      <c r="U110" s="2527"/>
      <c r="V110" s="449"/>
      <c r="W110" s="2478"/>
    </row>
    <row r="111" spans="1:23" ht="39" hidden="1" customHeight="1">
      <c r="A111" s="2557"/>
      <c r="B111" s="2563"/>
      <c r="C111" s="2623"/>
      <c r="D111" s="539" t="s">
        <v>471</v>
      </c>
      <c r="E111" s="531">
        <v>22.72</v>
      </c>
      <c r="F111" s="532"/>
      <c r="G111" s="513">
        <v>110.86499999999999</v>
      </c>
      <c r="H111" s="514">
        <f>57.32-12.05</f>
        <v>45.269999999999996</v>
      </c>
      <c r="I111" s="514"/>
      <c r="J111" s="534">
        <v>119.998</v>
      </c>
      <c r="K111" s="514">
        <v>46.24</v>
      </c>
      <c r="L111" s="534">
        <v>0</v>
      </c>
      <c r="M111" s="534">
        <v>0</v>
      </c>
      <c r="N111" s="1326"/>
      <c r="O111" s="2529"/>
      <c r="P111" s="2488"/>
      <c r="Q111" s="2527"/>
      <c r="R111" s="2534"/>
      <c r="S111" s="2527"/>
      <c r="T111" s="2527"/>
      <c r="U111" s="2527"/>
      <c r="V111" s="449"/>
      <c r="W111" s="2478"/>
    </row>
    <row r="112" spans="1:23" ht="39" hidden="1" customHeight="1">
      <c r="A112" s="2557"/>
      <c r="B112" s="2563"/>
      <c r="C112" s="2623"/>
      <c r="D112" s="539" t="s">
        <v>1125</v>
      </c>
      <c r="E112" s="513"/>
      <c r="F112" s="532"/>
      <c r="G112" s="513"/>
      <c r="H112" s="513">
        <v>3.2480000000000002</v>
      </c>
      <c r="I112" s="513"/>
      <c r="J112" s="515"/>
      <c r="K112" s="830">
        <v>12.38</v>
      </c>
      <c r="L112" s="513">
        <v>13.33</v>
      </c>
      <c r="M112" s="513">
        <f>L112</f>
        <v>13.33</v>
      </c>
      <c r="N112" s="1326"/>
      <c r="O112" s="2529"/>
      <c r="P112" s="2488"/>
      <c r="Q112" s="2527"/>
      <c r="R112" s="2534"/>
      <c r="S112" s="2527"/>
      <c r="T112" s="2527"/>
      <c r="U112" s="2527"/>
      <c r="V112" s="449"/>
      <c r="W112" s="2478"/>
    </row>
    <row r="113" spans="1:23" ht="39" hidden="1" customHeight="1">
      <c r="A113" s="2557"/>
      <c r="B113" s="2563"/>
      <c r="C113" s="2623"/>
      <c r="D113" s="539" t="s">
        <v>1126</v>
      </c>
      <c r="E113" s="513"/>
      <c r="F113" s="532"/>
      <c r="G113" s="513"/>
      <c r="H113" s="513"/>
      <c r="I113" s="513"/>
      <c r="J113" s="515"/>
      <c r="K113" s="513"/>
      <c r="L113" s="513"/>
      <c r="M113" s="513"/>
      <c r="N113" s="1326"/>
      <c r="O113" s="2529"/>
      <c r="P113" s="2488"/>
      <c r="Q113" s="2527"/>
      <c r="R113" s="2534"/>
      <c r="S113" s="2527"/>
      <c r="T113" s="2527"/>
      <c r="U113" s="2527"/>
      <c r="V113" s="449"/>
      <c r="W113" s="2478"/>
    </row>
    <row r="114" spans="1:23" ht="39" hidden="1" customHeight="1">
      <c r="A114" s="2557"/>
      <c r="B114" s="2563"/>
      <c r="C114" s="2623"/>
      <c r="D114" s="736" t="s">
        <v>1121</v>
      </c>
      <c r="E114" s="737">
        <f>SUM(E109:E113)</f>
        <v>322.22000000000003</v>
      </c>
      <c r="F114" s="716"/>
      <c r="G114" s="737">
        <f t="shared" ref="G114" si="46">SUM(G109:G113)</f>
        <v>395.20499999999998</v>
      </c>
      <c r="H114" s="737">
        <f t="shared" ref="H114:M114" si="47">SUM(H109:H113)</f>
        <v>365.488</v>
      </c>
      <c r="I114" s="737">
        <f t="shared" si="47"/>
        <v>0</v>
      </c>
      <c r="J114" s="738">
        <f t="shared" si="47"/>
        <v>337.30799999999999</v>
      </c>
      <c r="K114" s="737">
        <f t="shared" si="47"/>
        <v>378.66</v>
      </c>
      <c r="L114" s="737">
        <f t="shared" si="47"/>
        <v>346.13</v>
      </c>
      <c r="M114" s="737">
        <f t="shared" si="47"/>
        <v>364.83</v>
      </c>
      <c r="N114" s="1326"/>
      <c r="O114" s="2529"/>
      <c r="P114" s="2488"/>
      <c r="Q114" s="2527"/>
      <c r="R114" s="2534"/>
      <c r="S114" s="2527"/>
      <c r="T114" s="2527"/>
      <c r="U114" s="2527"/>
      <c r="V114" s="449"/>
      <c r="W114" s="2478"/>
    </row>
    <row r="115" spans="1:23" ht="39" hidden="1" customHeight="1">
      <c r="A115" s="2557"/>
      <c r="B115" s="2563" t="s">
        <v>1148</v>
      </c>
      <c r="C115" s="2623">
        <v>190243280</v>
      </c>
      <c r="D115" s="539" t="s">
        <v>1124</v>
      </c>
      <c r="E115" s="531">
        <v>756.56500000000005</v>
      </c>
      <c r="F115" s="532"/>
      <c r="G115" s="514">
        <v>747.27499999999998</v>
      </c>
      <c r="H115" s="514">
        <v>836.83</v>
      </c>
      <c r="I115" s="514"/>
      <c r="J115" s="534">
        <v>1008.944</v>
      </c>
      <c r="K115" s="851">
        <v>1035.3699999999999</v>
      </c>
      <c r="L115" s="851">
        <v>1111.2</v>
      </c>
      <c r="M115" s="851">
        <v>1170.8</v>
      </c>
      <c r="N115" s="1326"/>
      <c r="O115" s="2528"/>
      <c r="P115" s="2488"/>
      <c r="Q115" s="2527"/>
      <c r="R115" s="2534"/>
      <c r="S115" s="2527"/>
      <c r="T115" s="2527"/>
      <c r="U115" s="2527"/>
      <c r="V115" s="449"/>
      <c r="W115" s="2478"/>
    </row>
    <row r="116" spans="1:23" ht="39" hidden="1" customHeight="1">
      <c r="A116" s="2557"/>
      <c r="B116" s="2563"/>
      <c r="C116" s="2623"/>
      <c r="D116" s="539" t="s">
        <v>1075</v>
      </c>
      <c r="E116" s="514"/>
      <c r="F116" s="532"/>
      <c r="G116" s="514"/>
      <c r="H116" s="514"/>
      <c r="I116" s="514"/>
      <c r="J116" s="534"/>
      <c r="K116" s="513"/>
      <c r="L116" s="513"/>
      <c r="M116" s="513"/>
      <c r="N116" s="1326"/>
      <c r="O116" s="2529"/>
      <c r="P116" s="2488"/>
      <c r="Q116" s="2527"/>
      <c r="R116" s="2534"/>
      <c r="S116" s="2527"/>
      <c r="T116" s="2527"/>
      <c r="U116" s="2527"/>
      <c r="V116" s="449"/>
      <c r="W116" s="2478"/>
    </row>
    <row r="117" spans="1:23" ht="39" hidden="1" customHeight="1">
      <c r="A117" s="2557"/>
      <c r="B117" s="2563"/>
      <c r="C117" s="2623"/>
      <c r="D117" s="539" t="s">
        <v>471</v>
      </c>
      <c r="E117" s="513"/>
      <c r="F117" s="532"/>
      <c r="G117" s="513"/>
      <c r="H117" s="513"/>
      <c r="I117" s="513"/>
      <c r="J117" s="515"/>
      <c r="K117" s="513">
        <v>2.39</v>
      </c>
      <c r="L117" s="513">
        <v>610.67999999999995</v>
      </c>
      <c r="M117" s="513">
        <v>641.21</v>
      </c>
      <c r="N117" s="1326"/>
      <c r="O117" s="2529"/>
      <c r="P117" s="2488"/>
      <c r="Q117" s="2527"/>
      <c r="R117" s="2534"/>
      <c r="S117" s="2527"/>
      <c r="T117" s="2527"/>
      <c r="U117" s="2527"/>
      <c r="V117" s="449"/>
      <c r="W117" s="2478"/>
    </row>
    <row r="118" spans="1:23" ht="39" hidden="1" customHeight="1">
      <c r="A118" s="2557"/>
      <c r="B118" s="2563"/>
      <c r="C118" s="2623"/>
      <c r="D118" s="539" t="s">
        <v>1125</v>
      </c>
      <c r="E118" s="513"/>
      <c r="F118" s="532"/>
      <c r="G118" s="513"/>
      <c r="H118" s="513"/>
      <c r="I118" s="513"/>
      <c r="J118" s="515"/>
      <c r="K118" s="513"/>
      <c r="L118" s="513"/>
      <c r="M118" s="513"/>
      <c r="N118" s="1326"/>
      <c r="O118" s="2529"/>
      <c r="P118" s="2488"/>
      <c r="Q118" s="2527"/>
      <c r="R118" s="2534"/>
      <c r="S118" s="2527"/>
      <c r="T118" s="2527"/>
      <c r="U118" s="2527"/>
      <c r="V118" s="449"/>
      <c r="W118" s="2478"/>
    </row>
    <row r="119" spans="1:23" ht="39" hidden="1" customHeight="1">
      <c r="A119" s="2557"/>
      <c r="B119" s="2563"/>
      <c r="C119" s="2623"/>
      <c r="D119" s="539" t="s">
        <v>1126</v>
      </c>
      <c r="E119" s="513"/>
      <c r="F119" s="532"/>
      <c r="G119" s="513"/>
      <c r="H119" s="513"/>
      <c r="I119" s="513"/>
      <c r="J119" s="515"/>
      <c r="K119" s="513"/>
      <c r="L119" s="513"/>
      <c r="M119" s="513"/>
      <c r="N119" s="1326"/>
      <c r="O119" s="2529"/>
      <c r="P119" s="2488"/>
      <c r="Q119" s="2527"/>
      <c r="R119" s="2534"/>
      <c r="S119" s="2527"/>
      <c r="T119" s="2527"/>
      <c r="U119" s="2527"/>
      <c r="V119" s="449"/>
      <c r="W119" s="2478"/>
    </row>
    <row r="120" spans="1:23" ht="39" hidden="1" customHeight="1">
      <c r="A120" s="2557"/>
      <c r="B120" s="2563"/>
      <c r="C120" s="2623"/>
      <c r="D120" s="736" t="s">
        <v>1121</v>
      </c>
      <c r="E120" s="737">
        <f>SUM(E115:E119)</f>
        <v>756.56500000000005</v>
      </c>
      <c r="F120" s="716"/>
      <c r="G120" s="737">
        <f t="shared" ref="G120" si="48">SUM(G115:G119)</f>
        <v>747.27499999999998</v>
      </c>
      <c r="H120" s="737">
        <f t="shared" ref="H120:M120" si="49">SUM(H115:H119)</f>
        <v>836.83</v>
      </c>
      <c r="I120" s="737">
        <f t="shared" si="49"/>
        <v>0</v>
      </c>
      <c r="J120" s="738">
        <f t="shared" si="49"/>
        <v>1008.944</v>
      </c>
      <c r="K120" s="737">
        <f t="shared" si="49"/>
        <v>1037.76</v>
      </c>
      <c r="L120" s="737">
        <f t="shared" si="49"/>
        <v>1721.88</v>
      </c>
      <c r="M120" s="737">
        <f t="shared" si="49"/>
        <v>1812.01</v>
      </c>
      <c r="N120" s="1326"/>
      <c r="O120" s="2529"/>
      <c r="P120" s="2488"/>
      <c r="Q120" s="2527"/>
      <c r="R120" s="2534"/>
      <c r="S120" s="2527"/>
      <c r="T120" s="2527"/>
      <c r="U120" s="2527"/>
      <c r="V120" s="449"/>
      <c r="W120" s="2478"/>
    </row>
    <row r="121" spans="1:23" ht="39" hidden="1" customHeight="1">
      <c r="A121" s="2557"/>
      <c r="B121" s="2563" t="s">
        <v>1118</v>
      </c>
      <c r="C121" s="2623">
        <v>300135691</v>
      </c>
      <c r="D121" s="539" t="s">
        <v>1124</v>
      </c>
      <c r="E121" s="514">
        <v>1114.8</v>
      </c>
      <c r="F121" s="532"/>
      <c r="G121" s="514">
        <v>1055.5540000000001</v>
      </c>
      <c r="H121" s="514">
        <v>1188.655</v>
      </c>
      <c r="I121" s="514"/>
      <c r="J121" s="534">
        <v>1423.4939999999999</v>
      </c>
      <c r="K121" s="851">
        <v>1421.15</v>
      </c>
      <c r="L121" s="851">
        <v>1522.4</v>
      </c>
      <c r="M121" s="851">
        <v>1606.27</v>
      </c>
      <c r="N121" s="1326"/>
      <c r="O121" s="2528"/>
      <c r="P121" s="2488"/>
      <c r="Q121" s="2527"/>
      <c r="R121" s="2534"/>
      <c r="S121" s="2527"/>
      <c r="T121" s="2527"/>
      <c r="U121" s="2527"/>
      <c r="V121" s="449"/>
      <c r="W121" s="2478"/>
    </row>
    <row r="122" spans="1:23" ht="39" hidden="1" customHeight="1">
      <c r="A122" s="2557"/>
      <c r="B122" s="2563"/>
      <c r="C122" s="2623"/>
      <c r="D122" s="539" t="s">
        <v>1075</v>
      </c>
      <c r="E122" s="514"/>
      <c r="F122" s="532"/>
      <c r="G122" s="514"/>
      <c r="H122" s="514"/>
      <c r="I122" s="514"/>
      <c r="J122" s="534"/>
      <c r="K122" s="513"/>
      <c r="L122" s="513"/>
      <c r="M122" s="513"/>
      <c r="N122" s="1326"/>
      <c r="O122" s="2529"/>
      <c r="P122" s="2488"/>
      <c r="Q122" s="2527"/>
      <c r="R122" s="2534"/>
      <c r="S122" s="2527"/>
      <c r="T122" s="2527"/>
      <c r="U122" s="2527"/>
      <c r="V122" s="449"/>
      <c r="W122" s="2478"/>
    </row>
    <row r="123" spans="1:23" ht="39" hidden="1" customHeight="1">
      <c r="A123" s="2557"/>
      <c r="B123" s="2563"/>
      <c r="C123" s="2623"/>
      <c r="D123" s="539" t="s">
        <v>471</v>
      </c>
      <c r="E123" s="513"/>
      <c r="F123" s="532"/>
      <c r="G123" s="513"/>
      <c r="H123" s="514">
        <v>6.93</v>
      </c>
      <c r="I123" s="514"/>
      <c r="J123" s="534"/>
      <c r="K123" s="513">
        <v>12.26</v>
      </c>
      <c r="L123" s="513">
        <v>0</v>
      </c>
      <c r="M123" s="514"/>
      <c r="N123" s="1326"/>
      <c r="O123" s="2529"/>
      <c r="P123" s="2488"/>
      <c r="Q123" s="2527"/>
      <c r="R123" s="2534"/>
      <c r="S123" s="2527"/>
      <c r="T123" s="2527"/>
      <c r="U123" s="2527"/>
      <c r="V123" s="449"/>
      <c r="W123" s="2478"/>
    </row>
    <row r="124" spans="1:23" ht="39" hidden="1" customHeight="1">
      <c r="A124" s="2557"/>
      <c r="B124" s="2563"/>
      <c r="C124" s="2623"/>
      <c r="D124" s="539" t="s">
        <v>1125</v>
      </c>
      <c r="E124" s="513"/>
      <c r="F124" s="532"/>
      <c r="G124" s="513"/>
      <c r="H124" s="513"/>
      <c r="I124" s="513"/>
      <c r="J124" s="515"/>
      <c r="K124" s="513"/>
      <c r="L124" s="513"/>
      <c r="M124" s="513"/>
      <c r="N124" s="1326"/>
      <c r="O124" s="2529"/>
      <c r="P124" s="2488"/>
      <c r="Q124" s="2527"/>
      <c r="R124" s="2534"/>
      <c r="S124" s="2527"/>
      <c r="T124" s="2527"/>
      <c r="U124" s="2527"/>
      <c r="V124" s="449"/>
      <c r="W124" s="2478"/>
    </row>
    <row r="125" spans="1:23" ht="39" hidden="1" customHeight="1">
      <c r="A125" s="2557"/>
      <c r="B125" s="2563"/>
      <c r="C125" s="2623"/>
      <c r="D125" s="539" t="s">
        <v>1126</v>
      </c>
      <c r="E125" s="513"/>
      <c r="F125" s="532"/>
      <c r="G125" s="513"/>
      <c r="H125" s="513"/>
      <c r="I125" s="513"/>
      <c r="J125" s="515"/>
      <c r="K125" s="513"/>
      <c r="L125" s="513"/>
      <c r="M125" s="513"/>
      <c r="N125" s="1326"/>
      <c r="O125" s="2529"/>
      <c r="P125" s="2488"/>
      <c r="Q125" s="2527"/>
      <c r="R125" s="2534"/>
      <c r="S125" s="2527"/>
      <c r="T125" s="2527"/>
      <c r="U125" s="2527"/>
      <c r="V125" s="449"/>
      <c r="W125" s="2478"/>
    </row>
    <row r="126" spans="1:23" ht="39" hidden="1" customHeight="1">
      <c r="A126" s="2557"/>
      <c r="B126" s="2563"/>
      <c r="C126" s="2623"/>
      <c r="D126" s="736" t="s">
        <v>1121</v>
      </c>
      <c r="E126" s="737">
        <f>SUM(E121:E125)</f>
        <v>1114.8</v>
      </c>
      <c r="F126" s="716"/>
      <c r="G126" s="737">
        <f t="shared" ref="G126" si="50">SUM(G121:G125)</f>
        <v>1055.5540000000001</v>
      </c>
      <c r="H126" s="737">
        <f t="shared" ref="H126:M126" si="51">SUM(H121:H125)</f>
        <v>1195.585</v>
      </c>
      <c r="I126" s="737">
        <f t="shared" si="51"/>
        <v>0</v>
      </c>
      <c r="J126" s="738">
        <f t="shared" si="51"/>
        <v>1423.4939999999999</v>
      </c>
      <c r="K126" s="737">
        <f t="shared" si="51"/>
        <v>1433.41</v>
      </c>
      <c r="L126" s="737">
        <f t="shared" si="51"/>
        <v>1522.4</v>
      </c>
      <c r="M126" s="737">
        <f t="shared" si="51"/>
        <v>1606.27</v>
      </c>
      <c r="N126" s="1326"/>
      <c r="O126" s="2529"/>
      <c r="P126" s="2488"/>
      <c r="Q126" s="2527"/>
      <c r="R126" s="2534"/>
      <c r="S126" s="2527"/>
      <c r="T126" s="2527"/>
      <c r="U126" s="2527"/>
      <c r="V126" s="449"/>
      <c r="W126" s="2478"/>
    </row>
    <row r="127" spans="1:23" ht="39" hidden="1" customHeight="1">
      <c r="A127" s="2557"/>
      <c r="B127" s="2563" t="s">
        <v>1145</v>
      </c>
      <c r="C127" s="2623">
        <v>190243095</v>
      </c>
      <c r="D127" s="539" t="s">
        <v>1124</v>
      </c>
      <c r="E127" s="531">
        <v>1315.5</v>
      </c>
      <c r="F127" s="532"/>
      <c r="G127" s="514">
        <v>1296.7750000000001</v>
      </c>
      <c r="H127" s="514">
        <v>1412.665</v>
      </c>
      <c r="I127" s="514"/>
      <c r="J127" s="534">
        <v>1571.3969999999999</v>
      </c>
      <c r="K127" s="851">
        <v>1689.34</v>
      </c>
      <c r="L127" s="851">
        <v>1806.8</v>
      </c>
      <c r="M127" s="851">
        <v>1908.1</v>
      </c>
      <c r="N127" s="1326"/>
      <c r="O127" s="2528"/>
      <c r="P127" s="2488"/>
      <c r="Q127" s="2527"/>
      <c r="R127" s="2534"/>
      <c r="S127" s="2527"/>
      <c r="T127" s="2527"/>
      <c r="U127" s="2527"/>
      <c r="V127" s="449"/>
      <c r="W127" s="2478"/>
    </row>
    <row r="128" spans="1:23" ht="39" hidden="1" customHeight="1">
      <c r="A128" s="2557"/>
      <c r="B128" s="2563"/>
      <c r="C128" s="2623"/>
      <c r="D128" s="539" t="s">
        <v>1075</v>
      </c>
      <c r="E128" s="514"/>
      <c r="F128" s="532"/>
      <c r="G128" s="514"/>
      <c r="H128" s="514"/>
      <c r="I128" s="514"/>
      <c r="J128" s="534"/>
      <c r="K128" s="513"/>
      <c r="L128" s="513"/>
      <c r="M128" s="513"/>
      <c r="N128" s="1326"/>
      <c r="O128" s="2529"/>
      <c r="P128" s="2488"/>
      <c r="Q128" s="2527"/>
      <c r="R128" s="2534"/>
      <c r="S128" s="2527"/>
      <c r="T128" s="2527"/>
      <c r="U128" s="2527"/>
      <c r="V128" s="449"/>
      <c r="W128" s="2478"/>
    </row>
    <row r="129" spans="1:23" ht="39" hidden="1" customHeight="1">
      <c r="A129" s="2557"/>
      <c r="B129" s="2563"/>
      <c r="C129" s="2623"/>
      <c r="D129" s="539" t="s">
        <v>471</v>
      </c>
      <c r="E129" s="531">
        <v>22.41</v>
      </c>
      <c r="F129" s="532"/>
      <c r="G129" s="514">
        <v>22.914999999999999</v>
      </c>
      <c r="H129" s="514">
        <v>52.43</v>
      </c>
      <c r="I129" s="514"/>
      <c r="J129" s="534">
        <v>57.674999999999997</v>
      </c>
      <c r="K129" s="513">
        <v>25.65</v>
      </c>
      <c r="L129" s="514"/>
      <c r="M129" s="514"/>
      <c r="N129" s="1326"/>
      <c r="O129" s="2529"/>
      <c r="P129" s="2488"/>
      <c r="Q129" s="2527"/>
      <c r="R129" s="2534"/>
      <c r="S129" s="2527"/>
      <c r="T129" s="2527"/>
      <c r="U129" s="2527"/>
      <c r="V129" s="449"/>
      <c r="W129" s="2478"/>
    </row>
    <row r="130" spans="1:23" ht="39" hidden="1" customHeight="1">
      <c r="A130" s="2557"/>
      <c r="B130" s="2563"/>
      <c r="C130" s="2623"/>
      <c r="D130" s="539" t="s">
        <v>1125</v>
      </c>
      <c r="E130" s="513"/>
      <c r="F130" s="532"/>
      <c r="G130" s="513"/>
      <c r="H130" s="513"/>
      <c r="I130" s="513"/>
      <c r="J130" s="515"/>
      <c r="K130" s="513"/>
      <c r="L130" s="513"/>
      <c r="M130" s="513"/>
      <c r="N130" s="1326"/>
      <c r="O130" s="2529"/>
      <c r="P130" s="2488"/>
      <c r="Q130" s="2527"/>
      <c r="R130" s="2534"/>
      <c r="S130" s="2527"/>
      <c r="T130" s="2527"/>
      <c r="U130" s="2527"/>
      <c r="V130" s="449"/>
      <c r="W130" s="2478"/>
    </row>
    <row r="131" spans="1:23" ht="39" hidden="1" customHeight="1">
      <c r="A131" s="2557"/>
      <c r="B131" s="2563"/>
      <c r="C131" s="2623"/>
      <c r="D131" s="539" t="s">
        <v>1126</v>
      </c>
      <c r="E131" s="513"/>
      <c r="F131" s="532"/>
      <c r="G131" s="513"/>
      <c r="H131" s="513"/>
      <c r="I131" s="513"/>
      <c r="J131" s="515"/>
      <c r="K131" s="513"/>
      <c r="L131" s="513"/>
      <c r="M131" s="513"/>
      <c r="N131" s="1326"/>
      <c r="O131" s="2529"/>
      <c r="P131" s="2488"/>
      <c r="Q131" s="2527"/>
      <c r="R131" s="2534"/>
      <c r="S131" s="2527"/>
      <c r="T131" s="2527"/>
      <c r="U131" s="2527"/>
      <c r="V131" s="449"/>
      <c r="W131" s="2478"/>
    </row>
    <row r="132" spans="1:23" ht="39" hidden="1" customHeight="1">
      <c r="A132" s="2557"/>
      <c r="B132" s="2563"/>
      <c r="C132" s="2623"/>
      <c r="D132" s="736" t="s">
        <v>1121</v>
      </c>
      <c r="E132" s="737">
        <f>SUM(E127:E131)</f>
        <v>1337.91</v>
      </c>
      <c r="F132" s="716"/>
      <c r="G132" s="737">
        <f t="shared" ref="G132" si="52">SUM(G127:G131)</f>
        <v>1319.69</v>
      </c>
      <c r="H132" s="737">
        <f t="shared" ref="H132:M132" si="53">SUM(H127:H131)</f>
        <v>1465.095</v>
      </c>
      <c r="I132" s="737">
        <f t="shared" si="53"/>
        <v>0</v>
      </c>
      <c r="J132" s="738">
        <f t="shared" si="53"/>
        <v>1629.0719999999999</v>
      </c>
      <c r="K132" s="737">
        <f t="shared" si="53"/>
        <v>1714.99</v>
      </c>
      <c r="L132" s="737">
        <f t="shared" si="53"/>
        <v>1806.8</v>
      </c>
      <c r="M132" s="737">
        <f t="shared" si="53"/>
        <v>1908.1</v>
      </c>
      <c r="N132" s="1326"/>
      <c r="O132" s="2529"/>
      <c r="P132" s="2488"/>
      <c r="Q132" s="2527"/>
      <c r="R132" s="2534"/>
      <c r="S132" s="2527"/>
      <c r="T132" s="2527"/>
      <c r="U132" s="2527"/>
      <c r="V132" s="449"/>
      <c r="W132" s="2478"/>
    </row>
    <row r="133" spans="1:23" ht="39" hidden="1" customHeight="1">
      <c r="A133" s="2557"/>
      <c r="B133" s="2563" t="s">
        <v>1119</v>
      </c>
      <c r="C133" s="2623">
        <v>190243519</v>
      </c>
      <c r="D133" s="539" t="s">
        <v>1124</v>
      </c>
      <c r="E133" s="531">
        <v>1486.16</v>
      </c>
      <c r="F133" s="532"/>
      <c r="G133" s="514">
        <v>1701.5340000000001</v>
      </c>
      <c r="H133" s="514">
        <v>1810.5650000000001</v>
      </c>
      <c r="I133" s="514"/>
      <c r="J133" s="534">
        <v>2303.1889999999999</v>
      </c>
      <c r="K133" s="851">
        <v>2263.5500000000002</v>
      </c>
      <c r="L133" s="851">
        <v>2421</v>
      </c>
      <c r="M133" s="851">
        <v>2552.62</v>
      </c>
      <c r="N133" s="1326"/>
      <c r="O133" s="2528"/>
      <c r="P133" s="2488"/>
      <c r="Q133" s="2527"/>
      <c r="R133" s="2534"/>
      <c r="S133" s="2527"/>
      <c r="T133" s="2527"/>
      <c r="U133" s="2527"/>
      <c r="V133" s="449"/>
      <c r="W133" s="2478"/>
    </row>
    <row r="134" spans="1:23" ht="39" hidden="1" customHeight="1">
      <c r="A134" s="2557"/>
      <c r="B134" s="2563"/>
      <c r="C134" s="2623"/>
      <c r="D134" s="539" t="s">
        <v>1075</v>
      </c>
      <c r="E134" s="514"/>
      <c r="F134" s="532"/>
      <c r="G134" s="514"/>
      <c r="H134" s="514"/>
      <c r="I134" s="514"/>
      <c r="J134" s="534"/>
      <c r="K134" s="513"/>
      <c r="L134" s="513"/>
      <c r="M134" s="513"/>
      <c r="N134" s="1326"/>
      <c r="O134" s="2529"/>
      <c r="P134" s="2488"/>
      <c r="Q134" s="2527"/>
      <c r="R134" s="2534"/>
      <c r="S134" s="2527"/>
      <c r="T134" s="2527"/>
      <c r="U134" s="2527"/>
      <c r="V134" s="449"/>
      <c r="W134" s="2478"/>
    </row>
    <row r="135" spans="1:23" ht="39" hidden="1" customHeight="1">
      <c r="A135" s="2557"/>
      <c r="B135" s="2563"/>
      <c r="C135" s="2623"/>
      <c r="D135" s="539" t="s">
        <v>471</v>
      </c>
      <c r="E135" s="514">
        <v>19.21</v>
      </c>
      <c r="F135" s="532"/>
      <c r="G135" s="514"/>
      <c r="H135" s="514">
        <v>44.82</v>
      </c>
      <c r="I135" s="514"/>
      <c r="J135" s="534">
        <v>69.759</v>
      </c>
      <c r="K135" s="514">
        <v>33.549999999999997</v>
      </c>
      <c r="L135" s="514"/>
      <c r="M135" s="514"/>
      <c r="N135" s="1326"/>
      <c r="O135" s="2529"/>
      <c r="P135" s="2488"/>
      <c r="Q135" s="2527"/>
      <c r="R135" s="2534"/>
      <c r="S135" s="2527"/>
      <c r="T135" s="2527"/>
      <c r="U135" s="2527"/>
      <c r="V135" s="449"/>
      <c r="W135" s="2478"/>
    </row>
    <row r="136" spans="1:23" ht="39" hidden="1" customHeight="1">
      <c r="A136" s="2557"/>
      <c r="B136" s="2563"/>
      <c r="C136" s="2623"/>
      <c r="D136" s="539" t="s">
        <v>1122</v>
      </c>
      <c r="E136" s="513"/>
      <c r="F136" s="532"/>
      <c r="G136" s="513"/>
      <c r="H136" s="513">
        <v>39</v>
      </c>
      <c r="I136" s="513"/>
      <c r="J136" s="515">
        <v>40.200000000000003</v>
      </c>
      <c r="K136" s="513">
        <v>40.200000000000003</v>
      </c>
      <c r="L136" s="513">
        <v>40.200000000000003</v>
      </c>
      <c r="M136" s="513">
        <v>40.200000000000003</v>
      </c>
      <c r="N136" s="1326"/>
      <c r="O136" s="2529"/>
      <c r="P136" s="2488"/>
      <c r="Q136" s="2527"/>
      <c r="R136" s="2534"/>
      <c r="S136" s="2527"/>
      <c r="T136" s="2527"/>
      <c r="U136" s="2527"/>
      <c r="V136" s="449"/>
      <c r="W136" s="2478"/>
    </row>
    <row r="137" spans="1:23" ht="39" hidden="1" customHeight="1">
      <c r="A137" s="2557"/>
      <c r="B137" s="2563"/>
      <c r="C137" s="2623"/>
      <c r="D137" s="539" t="s">
        <v>1126</v>
      </c>
      <c r="E137" s="513"/>
      <c r="F137" s="532"/>
      <c r="G137" s="513"/>
      <c r="H137" s="513"/>
      <c r="I137" s="513"/>
      <c r="J137" s="515"/>
      <c r="K137" s="513"/>
      <c r="L137" s="513"/>
      <c r="M137" s="513"/>
      <c r="N137" s="1326"/>
      <c r="O137" s="2529"/>
      <c r="P137" s="2488"/>
      <c r="Q137" s="2527"/>
      <c r="R137" s="2534"/>
      <c r="S137" s="2527"/>
      <c r="T137" s="2527"/>
      <c r="U137" s="2527"/>
      <c r="V137" s="449"/>
      <c r="W137" s="2478"/>
    </row>
    <row r="138" spans="1:23" ht="39" hidden="1" customHeight="1">
      <c r="A138" s="2557"/>
      <c r="B138" s="2563"/>
      <c r="C138" s="2623"/>
      <c r="D138" s="735" t="s">
        <v>1121</v>
      </c>
      <c r="E138" s="737">
        <f>SUM(E133:E137)</f>
        <v>1505.3700000000001</v>
      </c>
      <c r="F138" s="716"/>
      <c r="G138" s="737">
        <f t="shared" ref="G138" si="54">SUM(G133:G137)</f>
        <v>1701.5340000000001</v>
      </c>
      <c r="H138" s="737">
        <f t="shared" ref="H138:M138" si="55">SUM(H133:H137)</f>
        <v>1894.385</v>
      </c>
      <c r="I138" s="737">
        <f t="shared" si="55"/>
        <v>0</v>
      </c>
      <c r="J138" s="738">
        <f t="shared" si="55"/>
        <v>2413.1479999999997</v>
      </c>
      <c r="K138" s="737">
        <f t="shared" si="55"/>
        <v>2337.3000000000002</v>
      </c>
      <c r="L138" s="737">
        <f t="shared" si="55"/>
        <v>2461.1999999999998</v>
      </c>
      <c r="M138" s="737">
        <f t="shared" si="55"/>
        <v>2592.8199999999997</v>
      </c>
      <c r="N138" s="1326"/>
      <c r="O138" s="2529"/>
      <c r="P138" s="2488"/>
      <c r="Q138" s="2527"/>
      <c r="R138" s="2534"/>
      <c r="S138" s="2527"/>
      <c r="T138" s="2527"/>
      <c r="U138" s="2527"/>
      <c r="V138" s="449"/>
      <c r="W138" s="2478"/>
    </row>
    <row r="139" spans="1:23" ht="39" hidden="1" customHeight="1">
      <c r="A139" s="2557"/>
      <c r="B139" s="2563" t="s">
        <v>1146</v>
      </c>
      <c r="C139" s="2623">
        <v>193170510</v>
      </c>
      <c r="D139" s="539" t="s">
        <v>1124</v>
      </c>
      <c r="E139" s="531">
        <v>817.91</v>
      </c>
      <c r="F139" s="532"/>
      <c r="G139" s="514">
        <v>938.19</v>
      </c>
      <c r="H139" s="514">
        <v>971.59</v>
      </c>
      <c r="I139" s="514"/>
      <c r="J139" s="534">
        <v>1278.95</v>
      </c>
      <c r="K139" s="851">
        <v>1253.57</v>
      </c>
      <c r="L139" s="851">
        <v>1340.2</v>
      </c>
      <c r="M139" s="851">
        <v>1412.9</v>
      </c>
      <c r="N139" s="1326"/>
      <c r="O139" s="2528"/>
      <c r="P139" s="2488"/>
      <c r="Q139" s="2527"/>
      <c r="R139" s="2534"/>
      <c r="S139" s="2527"/>
      <c r="T139" s="2527"/>
      <c r="U139" s="2527"/>
      <c r="V139" s="449"/>
      <c r="W139" s="2478"/>
    </row>
    <row r="140" spans="1:23" ht="39" hidden="1" customHeight="1">
      <c r="A140" s="2557"/>
      <c r="B140" s="2563"/>
      <c r="C140" s="2623"/>
      <c r="D140" s="539" t="s">
        <v>1075</v>
      </c>
      <c r="E140" s="514"/>
      <c r="F140" s="532"/>
      <c r="G140" s="514"/>
      <c r="H140" s="514"/>
      <c r="I140" s="514"/>
      <c r="J140" s="534"/>
      <c r="K140" s="513"/>
      <c r="L140" s="513"/>
      <c r="M140" s="513"/>
      <c r="N140" s="1326"/>
      <c r="O140" s="2529"/>
      <c r="P140" s="2488"/>
      <c r="Q140" s="2527"/>
      <c r="R140" s="2534"/>
      <c r="S140" s="2527"/>
      <c r="T140" s="2527"/>
      <c r="U140" s="2527"/>
      <c r="V140" s="449"/>
      <c r="W140" s="2478"/>
    </row>
    <row r="141" spans="1:23" ht="39" hidden="1" customHeight="1">
      <c r="A141" s="2557"/>
      <c r="B141" s="2563"/>
      <c r="C141" s="2623"/>
      <c r="D141" s="539" t="s">
        <v>471</v>
      </c>
      <c r="E141" s="531">
        <v>19.18</v>
      </c>
      <c r="F141" s="532"/>
      <c r="G141" s="514"/>
      <c r="H141" s="514">
        <v>37</v>
      </c>
      <c r="I141" s="514"/>
      <c r="J141" s="534"/>
      <c r="K141" s="514">
        <v>18.89</v>
      </c>
      <c r="L141" s="514">
        <v>0</v>
      </c>
      <c r="M141" s="514"/>
      <c r="N141" s="1326"/>
      <c r="O141" s="2529"/>
      <c r="P141" s="2488"/>
      <c r="Q141" s="2527"/>
      <c r="R141" s="2534"/>
      <c r="S141" s="2527"/>
      <c r="T141" s="2527"/>
      <c r="U141" s="2527"/>
      <c r="V141" s="449"/>
      <c r="W141" s="2478"/>
    </row>
    <row r="142" spans="1:23" ht="39" hidden="1" customHeight="1">
      <c r="A142" s="2557"/>
      <c r="B142" s="2563"/>
      <c r="C142" s="2623"/>
      <c r="D142" s="539" t="s">
        <v>1125</v>
      </c>
      <c r="E142" s="513"/>
      <c r="F142" s="532"/>
      <c r="G142" s="513"/>
      <c r="H142" s="513"/>
      <c r="I142" s="513"/>
      <c r="J142" s="515"/>
      <c r="K142" s="513"/>
      <c r="L142" s="513"/>
      <c r="M142" s="513"/>
      <c r="N142" s="1326"/>
      <c r="O142" s="2529"/>
      <c r="P142" s="2488"/>
      <c r="Q142" s="2527"/>
      <c r="R142" s="2534"/>
      <c r="S142" s="2527"/>
      <c r="T142" s="2527"/>
      <c r="U142" s="2527"/>
      <c r="V142" s="449"/>
      <c r="W142" s="2478"/>
    </row>
    <row r="143" spans="1:23" ht="39" hidden="1" customHeight="1">
      <c r="A143" s="2557"/>
      <c r="B143" s="2563"/>
      <c r="C143" s="2623"/>
      <c r="D143" s="539" t="s">
        <v>1126</v>
      </c>
      <c r="E143" s="513"/>
      <c r="F143" s="532"/>
      <c r="G143" s="513"/>
      <c r="H143" s="513"/>
      <c r="I143" s="513"/>
      <c r="J143" s="515"/>
      <c r="K143" s="513"/>
      <c r="L143" s="513"/>
      <c r="M143" s="513"/>
      <c r="N143" s="1326"/>
      <c r="O143" s="2529"/>
      <c r="P143" s="2488"/>
      <c r="Q143" s="2527"/>
      <c r="R143" s="2534"/>
      <c r="S143" s="2527"/>
      <c r="T143" s="2527"/>
      <c r="U143" s="2527"/>
      <c r="V143" s="449"/>
      <c r="W143" s="2478"/>
    </row>
    <row r="144" spans="1:23" ht="39" hidden="1" customHeight="1">
      <c r="A144" s="2557"/>
      <c r="B144" s="2563"/>
      <c r="C144" s="2623"/>
      <c r="D144" s="736" t="s">
        <v>1121</v>
      </c>
      <c r="E144" s="737">
        <f>SUM(E139:E143)</f>
        <v>837.08999999999992</v>
      </c>
      <c r="F144" s="716"/>
      <c r="G144" s="737">
        <f t="shared" ref="G144" si="56">SUM(G139:G143)</f>
        <v>938.19</v>
      </c>
      <c r="H144" s="737">
        <f t="shared" ref="H144:M144" si="57">SUM(H139:H143)</f>
        <v>1008.59</v>
      </c>
      <c r="I144" s="737">
        <f t="shared" si="57"/>
        <v>0</v>
      </c>
      <c r="J144" s="738">
        <f t="shared" si="57"/>
        <v>1278.95</v>
      </c>
      <c r="K144" s="737">
        <f t="shared" si="57"/>
        <v>1272.46</v>
      </c>
      <c r="L144" s="737">
        <f t="shared" si="57"/>
        <v>1340.2</v>
      </c>
      <c r="M144" s="737">
        <f t="shared" si="57"/>
        <v>1412.9</v>
      </c>
      <c r="N144" s="1326"/>
      <c r="O144" s="2529"/>
      <c r="P144" s="2488"/>
      <c r="Q144" s="2527"/>
      <c r="R144" s="2534"/>
      <c r="S144" s="2527"/>
      <c r="T144" s="2527"/>
      <c r="U144" s="2527"/>
      <c r="V144" s="449"/>
      <c r="W144" s="2478"/>
    </row>
    <row r="145" spans="1:23" ht="39" hidden="1" customHeight="1">
      <c r="A145" s="2557"/>
      <c r="B145" s="2563" t="s">
        <v>1120</v>
      </c>
      <c r="C145" s="2623">
        <v>305632124</v>
      </c>
      <c r="D145" s="539" t="s">
        <v>1124</v>
      </c>
      <c r="E145" s="531">
        <v>20.27</v>
      </c>
      <c r="F145" s="532"/>
      <c r="G145" s="513">
        <v>20.27</v>
      </c>
      <c r="H145" s="513">
        <v>19.34</v>
      </c>
      <c r="I145" s="513"/>
      <c r="J145" s="515"/>
      <c r="K145" s="513">
        <v>0</v>
      </c>
      <c r="L145" s="513">
        <v>0</v>
      </c>
      <c r="M145" s="513"/>
      <c r="N145" s="1326"/>
      <c r="O145" s="2528"/>
      <c r="P145" s="2488"/>
      <c r="Q145" s="2527"/>
      <c r="R145" s="2534"/>
      <c r="S145" s="2527"/>
      <c r="T145" s="2527"/>
      <c r="U145" s="2527"/>
      <c r="V145" s="449"/>
      <c r="W145" s="2478"/>
    </row>
    <row r="146" spans="1:23" ht="39" hidden="1" customHeight="1">
      <c r="A146" s="2557"/>
      <c r="B146" s="2563"/>
      <c r="C146" s="2623"/>
      <c r="D146" s="539" t="s">
        <v>1075</v>
      </c>
      <c r="E146" s="514"/>
      <c r="F146" s="532"/>
      <c r="G146" s="513">
        <v>53.94</v>
      </c>
      <c r="H146" s="513">
        <v>0</v>
      </c>
      <c r="I146" s="513"/>
      <c r="J146" s="515"/>
      <c r="K146" s="513">
        <v>0</v>
      </c>
      <c r="L146" s="513">
        <v>0</v>
      </c>
      <c r="M146" s="513"/>
      <c r="N146" s="1326"/>
      <c r="O146" s="2529"/>
      <c r="P146" s="2488"/>
      <c r="Q146" s="2527"/>
      <c r="R146" s="2534"/>
      <c r="S146" s="2527"/>
      <c r="T146" s="2527"/>
      <c r="U146" s="2527"/>
      <c r="V146" s="449"/>
      <c r="W146" s="2478"/>
    </row>
    <row r="147" spans="1:23" ht="39" hidden="1" customHeight="1">
      <c r="A147" s="2557"/>
      <c r="B147" s="2563"/>
      <c r="C147" s="2623"/>
      <c r="D147" s="539" t="s">
        <v>471</v>
      </c>
      <c r="E147" s="513"/>
      <c r="F147" s="532"/>
      <c r="G147" s="513">
        <v>1259.99</v>
      </c>
      <c r="H147" s="513">
        <v>0</v>
      </c>
      <c r="I147" s="513"/>
      <c r="J147" s="515"/>
      <c r="K147" s="513">
        <v>0</v>
      </c>
      <c r="L147" s="513">
        <v>0</v>
      </c>
      <c r="M147" s="513"/>
      <c r="N147" s="1326"/>
      <c r="O147" s="2529"/>
      <c r="P147" s="2488"/>
      <c r="Q147" s="2527"/>
      <c r="R147" s="2534"/>
      <c r="S147" s="2527"/>
      <c r="T147" s="2527"/>
      <c r="U147" s="2527"/>
      <c r="V147" s="449"/>
      <c r="W147" s="2478"/>
    </row>
    <row r="148" spans="1:23" ht="39" hidden="1" customHeight="1">
      <c r="A148" s="2557"/>
      <c r="B148" s="2563"/>
      <c r="C148" s="2623"/>
      <c r="D148" s="539" t="s">
        <v>1125</v>
      </c>
      <c r="E148" s="513"/>
      <c r="F148" s="532"/>
      <c r="G148" s="513"/>
      <c r="H148" s="513"/>
      <c r="I148" s="513"/>
      <c r="J148" s="515"/>
      <c r="K148" s="513"/>
      <c r="L148" s="513"/>
      <c r="M148" s="513"/>
      <c r="N148" s="1326"/>
      <c r="O148" s="2529"/>
      <c r="P148" s="2488"/>
      <c r="Q148" s="2527"/>
      <c r="R148" s="2534"/>
      <c r="S148" s="2527"/>
      <c r="T148" s="2527"/>
      <c r="U148" s="2527"/>
      <c r="V148" s="449"/>
      <c r="W148" s="2478"/>
    </row>
    <row r="149" spans="1:23" ht="39" hidden="1" customHeight="1">
      <c r="A149" s="2557"/>
      <c r="B149" s="2563"/>
      <c r="C149" s="2623"/>
      <c r="D149" s="539" t="s">
        <v>1126</v>
      </c>
      <c r="E149" s="513"/>
      <c r="F149" s="532"/>
      <c r="G149" s="513"/>
      <c r="H149" s="513"/>
      <c r="I149" s="513"/>
      <c r="J149" s="515"/>
      <c r="K149" s="513"/>
      <c r="L149" s="513"/>
      <c r="M149" s="513"/>
      <c r="N149" s="1326"/>
      <c r="O149" s="2529"/>
      <c r="P149" s="2488"/>
      <c r="Q149" s="2527"/>
      <c r="R149" s="2534"/>
      <c r="S149" s="2527"/>
      <c r="T149" s="2527"/>
      <c r="U149" s="2527"/>
      <c r="V149" s="449"/>
      <c r="W149" s="2478"/>
    </row>
    <row r="150" spans="1:23" ht="39" hidden="1" customHeight="1">
      <c r="A150" s="2557"/>
      <c r="B150" s="2563"/>
      <c r="C150" s="2623"/>
      <c r="D150" s="736" t="s">
        <v>1121</v>
      </c>
      <c r="E150" s="737">
        <f>SUM(E145:E149)</f>
        <v>20.27</v>
      </c>
      <c r="F150" s="716"/>
      <c r="G150" s="737">
        <f t="shared" ref="G150:L150" si="58">SUM(G145:G149)</f>
        <v>1334.2</v>
      </c>
      <c r="H150" s="737">
        <f t="shared" ref="H150" si="59">SUM(H145:H149)</f>
        <v>19.34</v>
      </c>
      <c r="I150" s="737"/>
      <c r="J150" s="738"/>
      <c r="K150" s="737">
        <f t="shared" si="58"/>
        <v>0</v>
      </c>
      <c r="L150" s="737">
        <f t="shared" si="58"/>
        <v>0</v>
      </c>
      <c r="M150" s="737"/>
      <c r="N150" s="1326"/>
      <c r="O150" s="2529"/>
      <c r="P150" s="2488"/>
      <c r="Q150" s="2527"/>
      <c r="R150" s="2534"/>
      <c r="S150" s="2527"/>
      <c r="T150" s="2527"/>
      <c r="U150" s="2527"/>
      <c r="V150" s="449"/>
      <c r="W150" s="2478"/>
    </row>
    <row r="151" spans="1:23" ht="39" hidden="1" customHeight="1">
      <c r="A151" s="2557"/>
      <c r="B151" s="2563" t="s">
        <v>1127</v>
      </c>
      <c r="C151" s="2559">
        <v>300665693</v>
      </c>
      <c r="D151" s="539" t="s">
        <v>1124</v>
      </c>
      <c r="E151" s="514">
        <v>84.99</v>
      </c>
      <c r="F151" s="532"/>
      <c r="G151" s="514">
        <v>233.77099999999999</v>
      </c>
      <c r="H151" s="514">
        <v>89.73</v>
      </c>
      <c r="I151" s="514"/>
      <c r="J151" s="534">
        <v>91.813000000000002</v>
      </c>
      <c r="K151" s="514">
        <v>101.73</v>
      </c>
      <c r="L151" s="514">
        <v>110.16</v>
      </c>
      <c r="M151" s="514">
        <v>119.3</v>
      </c>
      <c r="N151" s="1326"/>
      <c r="O151" s="2528"/>
      <c r="P151" s="2488"/>
      <c r="Q151" s="2530"/>
      <c r="R151" s="2534"/>
      <c r="S151" s="2530"/>
      <c r="T151" s="2530"/>
      <c r="U151" s="2530"/>
      <c r="V151" s="339"/>
      <c r="W151" s="2478"/>
    </row>
    <row r="152" spans="1:23" ht="39" hidden="1" customHeight="1">
      <c r="A152" s="2557"/>
      <c r="B152" s="2563"/>
      <c r="C152" s="2559"/>
      <c r="D152" s="539" t="s">
        <v>1075</v>
      </c>
      <c r="E152" s="514"/>
      <c r="F152" s="532"/>
      <c r="G152" s="514"/>
      <c r="H152" s="514"/>
      <c r="I152" s="514"/>
      <c r="J152" s="534"/>
      <c r="K152" s="514"/>
      <c r="L152" s="514"/>
      <c r="M152" s="514"/>
      <c r="N152" s="1326"/>
      <c r="O152" s="2529"/>
      <c r="P152" s="2488"/>
      <c r="Q152" s="2530"/>
      <c r="R152" s="2534"/>
      <c r="S152" s="2530"/>
      <c r="T152" s="2530"/>
      <c r="U152" s="2530"/>
      <c r="V152" s="339"/>
      <c r="W152" s="2478"/>
    </row>
    <row r="153" spans="1:23" ht="39" hidden="1" customHeight="1">
      <c r="A153" s="2557"/>
      <c r="B153" s="2563"/>
      <c r="C153" s="2559"/>
      <c r="D153" s="539" t="s">
        <v>471</v>
      </c>
      <c r="E153" s="531">
        <v>112.74</v>
      </c>
      <c r="F153" s="532"/>
      <c r="G153" s="514"/>
      <c r="H153" s="514">
        <f>71.93+68.47</f>
        <v>140.4</v>
      </c>
      <c r="I153" s="514"/>
      <c r="J153" s="534">
        <v>187.06</v>
      </c>
      <c r="K153" s="514">
        <v>118.23</v>
      </c>
      <c r="L153" s="514">
        <v>0</v>
      </c>
      <c r="M153" s="514">
        <v>0</v>
      </c>
      <c r="N153" s="1326"/>
      <c r="O153" s="2529"/>
      <c r="P153" s="2488"/>
      <c r="Q153" s="2530"/>
      <c r="R153" s="2534"/>
      <c r="S153" s="2530"/>
      <c r="T153" s="2530"/>
      <c r="U153" s="2530"/>
      <c r="V153" s="339"/>
      <c r="W153" s="2478"/>
    </row>
    <row r="154" spans="1:23" ht="39" hidden="1" customHeight="1">
      <c r="A154" s="2557"/>
      <c r="B154" s="2563"/>
      <c r="C154" s="2559"/>
      <c r="D154" s="539" t="s">
        <v>1125</v>
      </c>
      <c r="E154" s="514"/>
      <c r="F154" s="532"/>
      <c r="G154" s="514"/>
      <c r="H154" s="514"/>
      <c r="I154" s="514"/>
      <c r="J154" s="534"/>
      <c r="K154" s="514"/>
      <c r="L154" s="514"/>
      <c r="M154" s="514"/>
      <c r="N154" s="1326"/>
      <c r="O154" s="2529"/>
      <c r="P154" s="2488"/>
      <c r="Q154" s="2530"/>
      <c r="R154" s="2534"/>
      <c r="S154" s="2530"/>
      <c r="T154" s="2530"/>
      <c r="U154" s="2530"/>
      <c r="V154" s="339"/>
      <c r="W154" s="2478"/>
    </row>
    <row r="155" spans="1:23" ht="39" hidden="1" customHeight="1">
      <c r="A155" s="2557"/>
      <c r="B155" s="2563"/>
      <c r="C155" s="2559"/>
      <c r="D155" s="539" t="s">
        <v>1126</v>
      </c>
      <c r="E155" s="514"/>
      <c r="F155" s="532"/>
      <c r="G155" s="514"/>
      <c r="H155" s="514"/>
      <c r="I155" s="514"/>
      <c r="J155" s="534"/>
      <c r="K155" s="514"/>
      <c r="L155" s="514"/>
      <c r="M155" s="514"/>
      <c r="N155" s="1326"/>
      <c r="O155" s="2529"/>
      <c r="P155" s="2488"/>
      <c r="Q155" s="2530"/>
      <c r="R155" s="2534"/>
      <c r="S155" s="2530"/>
      <c r="T155" s="2530"/>
      <c r="U155" s="2530"/>
      <c r="V155" s="339"/>
      <c r="W155" s="2478"/>
    </row>
    <row r="156" spans="1:23" ht="39" hidden="1" customHeight="1">
      <c r="A156" s="2557"/>
      <c r="B156" s="2563"/>
      <c r="C156" s="2559"/>
      <c r="D156" s="736" t="s">
        <v>1121</v>
      </c>
      <c r="E156" s="717">
        <f>SUM(E151:E155)</f>
        <v>197.73</v>
      </c>
      <c r="F156" s="716"/>
      <c r="G156" s="717"/>
      <c r="H156" s="717">
        <f>SUM(H151,H152,H153,H154,H155)</f>
        <v>230.13</v>
      </c>
      <c r="I156" s="717">
        <f t="shared" ref="I156:M156" si="60">SUM(I151,I152,I153,I154,I155)</f>
        <v>0</v>
      </c>
      <c r="J156" s="718">
        <f t="shared" si="60"/>
        <v>278.87299999999999</v>
      </c>
      <c r="K156" s="717">
        <f t="shared" si="60"/>
        <v>219.96</v>
      </c>
      <c r="L156" s="717">
        <f t="shared" si="60"/>
        <v>110.16</v>
      </c>
      <c r="M156" s="717">
        <f t="shared" si="60"/>
        <v>119.3</v>
      </c>
      <c r="N156" s="1326"/>
      <c r="O156" s="2529"/>
      <c r="P156" s="2488"/>
      <c r="Q156" s="2530"/>
      <c r="R156" s="2534"/>
      <c r="S156" s="2530"/>
      <c r="T156" s="2530"/>
      <c r="U156" s="2530"/>
      <c r="V156" s="339"/>
      <c r="W156" s="2478"/>
    </row>
    <row r="157" spans="1:23" ht="39" hidden="1" customHeight="1">
      <c r="A157" s="2557"/>
      <c r="B157" s="2549" t="s">
        <v>1128</v>
      </c>
      <c r="C157" s="541"/>
      <c r="D157" s="540" t="s">
        <v>471</v>
      </c>
      <c r="E157" s="514"/>
      <c r="F157" s="532"/>
      <c r="G157" s="514"/>
      <c r="H157" s="514">
        <v>78</v>
      </c>
      <c r="I157" s="514"/>
      <c r="J157" s="534"/>
      <c r="K157" s="514">
        <v>52.55</v>
      </c>
      <c r="L157" s="514">
        <v>30.02</v>
      </c>
      <c r="M157" s="514">
        <v>33.090000000000003</v>
      </c>
      <c r="N157" s="1326"/>
      <c r="O157" s="233"/>
      <c r="P157" s="2488"/>
      <c r="Q157" s="323"/>
      <c r="R157" s="324"/>
      <c r="S157" s="323"/>
      <c r="T157" s="323"/>
      <c r="U157" s="323"/>
      <c r="V157" s="339"/>
      <c r="W157" s="2478"/>
    </row>
    <row r="158" spans="1:23" ht="39" hidden="1" customHeight="1">
      <c r="A158" s="2557"/>
      <c r="B158" s="2539"/>
      <c r="C158" s="541"/>
      <c r="D158" s="540" t="s">
        <v>1122</v>
      </c>
      <c r="E158" s="514"/>
      <c r="F158" s="532"/>
      <c r="G158" s="514"/>
      <c r="H158" s="514"/>
      <c r="I158" s="514"/>
      <c r="J158" s="534"/>
      <c r="K158" s="514">
        <v>53.52</v>
      </c>
      <c r="L158" s="514">
        <v>55.106999999999999</v>
      </c>
      <c r="M158" s="514">
        <v>55.106999999999999</v>
      </c>
      <c r="N158" s="1326"/>
      <c r="O158" s="233"/>
      <c r="P158" s="2488"/>
      <c r="Q158" s="323"/>
      <c r="R158" s="324"/>
      <c r="S158" s="323"/>
      <c r="T158" s="323"/>
      <c r="U158" s="323"/>
      <c r="V158" s="339"/>
      <c r="W158" s="2478"/>
    </row>
    <row r="159" spans="1:23" ht="39" hidden="1" customHeight="1">
      <c r="A159" s="2557"/>
      <c r="B159" s="2539"/>
      <c r="C159" s="2559">
        <v>188711925</v>
      </c>
      <c r="D159" s="539" t="s">
        <v>1124</v>
      </c>
      <c r="E159" s="514">
        <v>52.44</v>
      </c>
      <c r="F159" s="532"/>
      <c r="G159" s="514"/>
      <c r="H159" s="514">
        <f>71.62-7.28</f>
        <v>64.34</v>
      </c>
      <c r="I159" s="514"/>
      <c r="J159" s="534"/>
      <c r="K159" s="514">
        <v>62.8</v>
      </c>
      <c r="L159" s="514">
        <v>0</v>
      </c>
      <c r="M159" s="514"/>
      <c r="N159" s="1326"/>
      <c r="O159" s="2615"/>
      <c r="P159" s="2488"/>
      <c r="Q159" s="2530"/>
      <c r="R159" s="2534"/>
      <c r="S159" s="2530"/>
      <c r="T159" s="2530"/>
      <c r="U159" s="2530"/>
      <c r="V159" s="339"/>
      <c r="W159" s="2478"/>
    </row>
    <row r="160" spans="1:23" ht="39" hidden="1" customHeight="1">
      <c r="A160" s="2558"/>
      <c r="B160" s="2550"/>
      <c r="C160" s="2559"/>
      <c r="D160" s="736" t="s">
        <v>1121</v>
      </c>
      <c r="E160" s="717">
        <f>E159</f>
        <v>52.44</v>
      </c>
      <c r="F160" s="716"/>
      <c r="G160" s="717"/>
      <c r="H160" s="717">
        <f>H157+H159</f>
        <v>142.34</v>
      </c>
      <c r="I160" s="717">
        <f t="shared" ref="I160:M160" si="61">I157+I159</f>
        <v>0</v>
      </c>
      <c r="J160" s="718">
        <f t="shared" si="61"/>
        <v>0</v>
      </c>
      <c r="K160" s="717">
        <f t="shared" si="61"/>
        <v>115.35</v>
      </c>
      <c r="L160" s="717">
        <f>L157+L159+L158</f>
        <v>85.126999999999995</v>
      </c>
      <c r="M160" s="717">
        <f t="shared" si="61"/>
        <v>33.090000000000003</v>
      </c>
      <c r="N160" s="1326"/>
      <c r="O160" s="2615"/>
      <c r="P160" s="2488"/>
      <c r="Q160" s="2530"/>
      <c r="R160" s="2534"/>
      <c r="S160" s="2530"/>
      <c r="T160" s="2530"/>
      <c r="U160" s="2530"/>
      <c r="V160" s="337"/>
      <c r="W160" s="2479"/>
    </row>
    <row r="161" spans="1:23" ht="67.5" customHeight="1">
      <c r="A161" s="329" t="s">
        <v>2055</v>
      </c>
      <c r="B161" s="958" t="s">
        <v>4194</v>
      </c>
      <c r="C161" s="330"/>
      <c r="D161" s="517"/>
      <c r="E161" s="518" t="e">
        <f>SUM(E163,E177,E196,E208,E227,#REF!,#REF!,E242,E244,)</f>
        <v>#REF!</v>
      </c>
      <c r="F161" s="519" t="e">
        <f>H161/E161-1</f>
        <v>#REF!</v>
      </c>
      <c r="G161" s="518" t="e">
        <f>SUM(G163,G177,G196,G208,G227,#REF!,#REF!,G242,G244,)</f>
        <v>#REF!</v>
      </c>
      <c r="H161" s="518">
        <f>SUM(H163,H177,H196,H208,H227,H242,H244,)</f>
        <v>1957.33</v>
      </c>
      <c r="I161" s="511">
        <f>K161/H161-1</f>
        <v>-0.46561131745796569</v>
      </c>
      <c r="J161" s="518">
        <f>SUM(J163,J177,J196,J208,J227,J242,J244,)</f>
        <v>169.417</v>
      </c>
      <c r="K161" s="518">
        <f>SUM(K163,K177,K196,K208,K227,K242,K244,)</f>
        <v>1045.9749999999999</v>
      </c>
      <c r="L161" s="518">
        <f t="shared" ref="L161:M161" si="62">SUM(L163,L177,L196,L208,L227,L242,L244,)</f>
        <v>960.34300000000007</v>
      </c>
      <c r="M161" s="518">
        <f t="shared" si="62"/>
        <v>989.9430000000001</v>
      </c>
      <c r="N161" s="183" t="s">
        <v>2468</v>
      </c>
      <c r="O161" s="331"/>
      <c r="P161" s="2488"/>
      <c r="Q161" s="229" t="s">
        <v>1941</v>
      </c>
      <c r="R161" s="970" t="s">
        <v>858</v>
      </c>
      <c r="S161" s="229" t="s">
        <v>434</v>
      </c>
      <c r="T161" s="229" t="s">
        <v>1820</v>
      </c>
      <c r="U161" s="229" t="s">
        <v>308</v>
      </c>
      <c r="V161" s="625"/>
      <c r="W161" s="2477" t="s">
        <v>858</v>
      </c>
    </row>
    <row r="162" spans="1:23" ht="39" customHeight="1">
      <c r="A162" s="2576" t="s">
        <v>2041</v>
      </c>
      <c r="B162" s="2366" t="s">
        <v>1129</v>
      </c>
      <c r="C162" s="2547" t="s">
        <v>1080</v>
      </c>
      <c r="D162" s="299" t="s">
        <v>471</v>
      </c>
      <c r="E162" s="225">
        <v>18.62</v>
      </c>
      <c r="F162" s="318">
        <f>H162/E162-1</f>
        <v>0.16004296455424272</v>
      </c>
      <c r="G162" s="225">
        <f>SUM(G164,G165)</f>
        <v>27</v>
      </c>
      <c r="H162" s="225">
        <f>SUM(H164,H165:H166)</f>
        <v>21.6</v>
      </c>
      <c r="I162" s="645">
        <f t="shared" ref="I162:I163" si="63">K162/H162-1</f>
        <v>0.16666666666666652</v>
      </c>
      <c r="J162" s="230">
        <f>SUM(J167,J168,J169,J171,J173,J174,J175)</f>
        <v>38.800000000000004</v>
      </c>
      <c r="K162" s="225">
        <f>SUM(K164,K165)</f>
        <v>25.2</v>
      </c>
      <c r="L162" s="225">
        <f t="shared" ref="L162:M162" si="64">SUM(L164,L165)</f>
        <v>26.2</v>
      </c>
      <c r="M162" s="225">
        <f t="shared" si="64"/>
        <v>27.2</v>
      </c>
      <c r="N162" s="2490" t="s">
        <v>1860</v>
      </c>
      <c r="O162" s="2395" t="s">
        <v>3848</v>
      </c>
      <c r="P162" s="2488"/>
      <c r="Q162" s="2475" t="s">
        <v>1137</v>
      </c>
      <c r="R162" s="2342" t="s">
        <v>1136</v>
      </c>
      <c r="S162" s="2475" t="s">
        <v>308</v>
      </c>
      <c r="T162" s="2475" t="s">
        <v>308</v>
      </c>
      <c r="U162" s="2475" t="s">
        <v>308</v>
      </c>
      <c r="V162" s="2533" t="s">
        <v>308</v>
      </c>
      <c r="W162" s="2478"/>
    </row>
    <row r="163" spans="1:23" ht="120" customHeight="1">
      <c r="A163" s="2576"/>
      <c r="B163" s="2366"/>
      <c r="C163" s="2548"/>
      <c r="D163" s="332" t="s">
        <v>1121</v>
      </c>
      <c r="E163" s="300">
        <f>E162</f>
        <v>18.62</v>
      </c>
      <c r="F163" s="321">
        <f>H163/E163-1</f>
        <v>0.16004296455424272</v>
      </c>
      <c r="G163" s="300">
        <f t="shared" ref="G163" si="65">G162</f>
        <v>27</v>
      </c>
      <c r="H163" s="300">
        <f t="shared" ref="H163" si="66">H162</f>
        <v>21.6</v>
      </c>
      <c r="I163" s="526">
        <f t="shared" si="63"/>
        <v>0.16666666666666652</v>
      </c>
      <c r="J163" s="507">
        <f>J162</f>
        <v>38.800000000000004</v>
      </c>
      <c r="K163" s="300">
        <f t="shared" ref="K163:M163" si="67">K162</f>
        <v>25.2</v>
      </c>
      <c r="L163" s="300">
        <f t="shared" si="67"/>
        <v>26.2</v>
      </c>
      <c r="M163" s="300">
        <f t="shared" si="67"/>
        <v>27.2</v>
      </c>
      <c r="N163" s="2492"/>
      <c r="O163" s="2396"/>
      <c r="P163" s="2488"/>
      <c r="Q163" s="2475"/>
      <c r="R163" s="2342"/>
      <c r="S163" s="2475"/>
      <c r="T163" s="2475"/>
      <c r="U163" s="2475"/>
      <c r="V163" s="2508"/>
      <c r="W163" s="2479"/>
    </row>
    <row r="164" spans="1:23" ht="39" hidden="1" customHeight="1">
      <c r="A164" s="542"/>
      <c r="B164" s="959" t="s">
        <v>1835</v>
      </c>
      <c r="C164" s="743"/>
      <c r="D164" s="512" t="s">
        <v>471</v>
      </c>
      <c r="E164" s="513"/>
      <c r="F164" s="553"/>
      <c r="G164" s="513">
        <v>3</v>
      </c>
      <c r="H164" s="513">
        <v>5</v>
      </c>
      <c r="I164" s="513"/>
      <c r="J164" s="515">
        <f>J170+J171+J172</f>
        <v>13.7</v>
      </c>
      <c r="K164" s="667">
        <v>8</v>
      </c>
      <c r="L164" s="545">
        <v>8</v>
      </c>
      <c r="M164" s="545">
        <v>8</v>
      </c>
      <c r="N164" s="1327"/>
      <c r="O164" s="554" t="s">
        <v>3860</v>
      </c>
      <c r="P164" s="2488"/>
      <c r="Q164" s="289"/>
      <c r="R164" s="289"/>
      <c r="S164" s="323"/>
      <c r="T164" s="323"/>
      <c r="U164" s="323"/>
      <c r="V164" s="323"/>
      <c r="W164" s="323"/>
    </row>
    <row r="165" spans="1:23" ht="39" hidden="1" customHeight="1">
      <c r="A165" s="542"/>
      <c r="B165" s="959" t="s">
        <v>2703</v>
      </c>
      <c r="C165" s="743"/>
      <c r="D165" s="512" t="s">
        <v>471</v>
      </c>
      <c r="E165" s="513"/>
      <c r="F165" s="553"/>
      <c r="G165" s="513">
        <v>24</v>
      </c>
      <c r="H165" s="513">
        <f>16.6-1.89</f>
        <v>14.71</v>
      </c>
      <c r="I165" s="513"/>
      <c r="J165" s="515">
        <f>J167+J168+J169+J173+J174+J175</f>
        <v>38.1</v>
      </c>
      <c r="K165" s="513">
        <v>17.2</v>
      </c>
      <c r="L165" s="513">
        <v>18.2</v>
      </c>
      <c r="M165" s="513">
        <v>19.2</v>
      </c>
      <c r="N165" s="1327"/>
      <c r="O165" s="554" t="s">
        <v>3847</v>
      </c>
      <c r="P165" s="2488"/>
      <c r="Q165" s="289"/>
      <c r="R165" s="289"/>
      <c r="S165" s="323"/>
      <c r="T165" s="323"/>
      <c r="U165" s="323"/>
      <c r="V165" s="333"/>
      <c r="W165" s="333"/>
    </row>
    <row r="166" spans="1:23" ht="39" hidden="1" customHeight="1">
      <c r="A166" s="542"/>
      <c r="B166" s="960" t="s">
        <v>3061</v>
      </c>
      <c r="C166" s="739"/>
      <c r="D166" s="740"/>
      <c r="E166" s="514"/>
      <c r="F166" s="532"/>
      <c r="G166" s="514"/>
      <c r="H166" s="514">
        <v>1.89</v>
      </c>
      <c r="I166" s="514"/>
      <c r="J166" s="534"/>
      <c r="K166" s="741"/>
      <c r="L166" s="566"/>
      <c r="M166" s="566"/>
      <c r="N166" s="934"/>
      <c r="O166" s="233"/>
      <c r="P166" s="2488"/>
      <c r="Q166" s="289"/>
      <c r="R166" s="289"/>
      <c r="S166" s="323"/>
      <c r="T166" s="323"/>
      <c r="U166" s="323"/>
      <c r="V166" s="333"/>
      <c r="W166" s="333"/>
    </row>
    <row r="167" spans="1:23" ht="39" hidden="1" customHeight="1">
      <c r="A167" s="542" t="s">
        <v>3250</v>
      </c>
      <c r="B167" s="959" t="s">
        <v>3284</v>
      </c>
      <c r="C167" s="543" t="s">
        <v>3285</v>
      </c>
      <c r="D167" s="544"/>
      <c r="E167" s="513"/>
      <c r="F167" s="532"/>
      <c r="G167" s="513"/>
      <c r="H167" s="513"/>
      <c r="I167" s="513"/>
      <c r="J167" s="515">
        <v>1</v>
      </c>
      <c r="K167" s="638"/>
      <c r="L167" s="638"/>
      <c r="M167" s="638"/>
      <c r="N167" s="934"/>
      <c r="O167" s="233" t="s">
        <v>3298</v>
      </c>
      <c r="P167" s="2488"/>
      <c r="Q167" s="289"/>
      <c r="R167" s="289"/>
      <c r="S167" s="323"/>
      <c r="T167" s="323"/>
      <c r="U167" s="323"/>
      <c r="V167" s="333"/>
      <c r="W167" s="333"/>
    </row>
    <row r="168" spans="1:23" ht="39" hidden="1" customHeight="1">
      <c r="A168" s="542"/>
      <c r="B168" s="959" t="s">
        <v>3286</v>
      </c>
      <c r="C168" s="543" t="s">
        <v>3285</v>
      </c>
      <c r="D168" s="544"/>
      <c r="E168" s="513"/>
      <c r="F168" s="532"/>
      <c r="G168" s="513"/>
      <c r="H168" s="513"/>
      <c r="I168" s="513"/>
      <c r="J168" s="515">
        <v>2</v>
      </c>
      <c r="K168" s="638"/>
      <c r="L168" s="638"/>
      <c r="M168" s="638"/>
      <c r="N168" s="934"/>
      <c r="O168" s="233" t="s">
        <v>3297</v>
      </c>
      <c r="P168" s="2488"/>
      <c r="Q168" s="289"/>
      <c r="R168" s="289"/>
      <c r="S168" s="323"/>
      <c r="T168" s="323"/>
      <c r="U168" s="323"/>
      <c r="V168" s="333"/>
      <c r="W168" s="333"/>
    </row>
    <row r="169" spans="1:23" ht="39" hidden="1" customHeight="1">
      <c r="A169" s="542"/>
      <c r="B169" s="2495" t="s">
        <v>3287</v>
      </c>
      <c r="C169" s="543" t="s">
        <v>3285</v>
      </c>
      <c r="D169" s="544"/>
      <c r="E169" s="513"/>
      <c r="F169" s="532"/>
      <c r="G169" s="513"/>
      <c r="H169" s="513"/>
      <c r="I169" s="513"/>
      <c r="J169" s="515">
        <v>0.4</v>
      </c>
      <c r="K169" s="638"/>
      <c r="L169" s="638"/>
      <c r="M169" s="638"/>
      <c r="N169" s="934"/>
      <c r="O169" s="233" t="s">
        <v>3295</v>
      </c>
      <c r="P169" s="2488"/>
      <c r="Q169" s="289"/>
      <c r="R169" s="289"/>
      <c r="S169" s="323"/>
      <c r="T169" s="323"/>
      <c r="U169" s="323"/>
      <c r="V169" s="333"/>
      <c r="W169" s="333"/>
    </row>
    <row r="170" spans="1:23" ht="39" hidden="1" customHeight="1">
      <c r="A170" s="542"/>
      <c r="B170" s="2496"/>
      <c r="C170" s="552" t="s">
        <v>3288</v>
      </c>
      <c r="D170" s="544"/>
      <c r="E170" s="513"/>
      <c r="F170" s="532"/>
      <c r="G170" s="513"/>
      <c r="H170" s="513"/>
      <c r="I170" s="513"/>
      <c r="J170" s="515">
        <v>3</v>
      </c>
      <c r="K170" s="638"/>
      <c r="L170" s="638"/>
      <c r="M170" s="638"/>
      <c r="N170" s="934"/>
      <c r="O170" s="233"/>
      <c r="P170" s="2488"/>
      <c r="Q170" s="289"/>
      <c r="R170" s="289"/>
      <c r="S170" s="323"/>
      <c r="T170" s="323"/>
      <c r="U170" s="323"/>
      <c r="V170" s="333"/>
      <c r="W170" s="333"/>
    </row>
    <row r="171" spans="1:23" ht="39" hidden="1" customHeight="1">
      <c r="A171" s="542"/>
      <c r="B171" s="2497"/>
      <c r="C171" s="552" t="s">
        <v>3288</v>
      </c>
      <c r="D171" s="544"/>
      <c r="E171" s="513"/>
      <c r="F171" s="532"/>
      <c r="G171" s="513"/>
      <c r="H171" s="513"/>
      <c r="I171" s="513"/>
      <c r="J171" s="515">
        <v>0.7</v>
      </c>
      <c r="K171" s="638"/>
      <c r="L171" s="638"/>
      <c r="M171" s="638"/>
      <c r="N171" s="934"/>
      <c r="O171" s="529" t="s">
        <v>3296</v>
      </c>
      <c r="P171" s="2488"/>
      <c r="Q171" s="289"/>
      <c r="R171" s="289"/>
      <c r="S171" s="323"/>
      <c r="T171" s="323"/>
      <c r="U171" s="323"/>
      <c r="V171" s="333"/>
      <c r="W171" s="333"/>
    </row>
    <row r="172" spans="1:23" ht="39" hidden="1" customHeight="1">
      <c r="A172" s="542"/>
      <c r="B172" s="959" t="s">
        <v>3576</v>
      </c>
      <c r="C172" s="651" t="s">
        <v>3288</v>
      </c>
      <c r="D172" s="544"/>
      <c r="E172" s="513"/>
      <c r="F172" s="532"/>
      <c r="G172" s="513"/>
      <c r="H172" s="513"/>
      <c r="I172" s="513"/>
      <c r="J172" s="515">
        <v>10</v>
      </c>
      <c r="K172" s="638"/>
      <c r="L172" s="639"/>
      <c r="M172" s="639"/>
      <c r="N172" s="934"/>
      <c r="O172" s="742" t="s">
        <v>3577</v>
      </c>
      <c r="P172" s="2488"/>
      <c r="Q172" s="289"/>
      <c r="R172" s="289"/>
      <c r="S172" s="323"/>
      <c r="T172" s="323"/>
      <c r="U172" s="323"/>
      <c r="V172" s="333"/>
      <c r="W172" s="333"/>
    </row>
    <row r="173" spans="1:23" ht="39" hidden="1" customHeight="1">
      <c r="A173" s="542"/>
      <c r="B173" s="959" t="s">
        <v>3289</v>
      </c>
      <c r="C173" s="543" t="s">
        <v>3285</v>
      </c>
      <c r="D173" s="544"/>
      <c r="E173" s="513"/>
      <c r="F173" s="532"/>
      <c r="G173" s="513"/>
      <c r="H173" s="513"/>
      <c r="I173" s="513"/>
      <c r="J173" s="515">
        <v>18</v>
      </c>
      <c r="K173" s="638"/>
      <c r="L173" s="639"/>
      <c r="M173" s="639"/>
      <c r="N173" s="934"/>
      <c r="O173" s="233" t="s">
        <v>3294</v>
      </c>
      <c r="P173" s="2488"/>
      <c r="Q173" s="289"/>
      <c r="R173" s="289"/>
      <c r="S173" s="323"/>
      <c r="T173" s="323"/>
      <c r="U173" s="323"/>
      <c r="V173" s="333"/>
      <c r="W173" s="333"/>
    </row>
    <row r="174" spans="1:23" ht="39" hidden="1" customHeight="1">
      <c r="A174" s="542"/>
      <c r="B174" s="959" t="s">
        <v>3290</v>
      </c>
      <c r="C174" s="543" t="s">
        <v>3285</v>
      </c>
      <c r="D174" s="544"/>
      <c r="E174" s="513"/>
      <c r="F174" s="532"/>
      <c r="G174" s="513"/>
      <c r="H174" s="513"/>
      <c r="I174" s="513"/>
      <c r="J174" s="515">
        <v>1.1000000000000001</v>
      </c>
      <c r="K174" s="638"/>
      <c r="L174" s="638"/>
      <c r="M174" s="638"/>
      <c r="N174" s="934"/>
      <c r="O174" s="233" t="s">
        <v>3293</v>
      </c>
      <c r="P174" s="2488"/>
      <c r="Q174" s="289"/>
      <c r="R174" s="289"/>
      <c r="S174" s="323"/>
      <c r="T174" s="323"/>
      <c r="U174" s="323"/>
      <c r="V174" s="333"/>
      <c r="W174" s="333"/>
    </row>
    <row r="175" spans="1:23" ht="39" hidden="1" customHeight="1">
      <c r="A175" s="1340"/>
      <c r="B175" s="962" t="s">
        <v>3291</v>
      </c>
      <c r="C175" s="647" t="s">
        <v>3285</v>
      </c>
      <c r="D175" s="544"/>
      <c r="E175" s="513"/>
      <c r="F175" s="532"/>
      <c r="G175" s="513"/>
      <c r="H175" s="513"/>
      <c r="I175" s="513"/>
      <c r="J175" s="515">
        <v>15.6</v>
      </c>
      <c r="K175" s="640"/>
      <c r="L175" s="639"/>
      <c r="M175" s="639"/>
      <c r="N175" s="934"/>
      <c r="O175" s="233" t="s">
        <v>3292</v>
      </c>
      <c r="P175" s="2488"/>
      <c r="Q175" s="289"/>
      <c r="R175" s="289"/>
      <c r="S175" s="323"/>
      <c r="T175" s="323"/>
      <c r="U175" s="323"/>
      <c r="V175" s="333"/>
      <c r="W175" s="333"/>
    </row>
    <row r="176" spans="1:23" ht="39" customHeight="1">
      <c r="A176" s="2616" t="s">
        <v>2042</v>
      </c>
      <c r="B176" s="2611" t="s">
        <v>1130</v>
      </c>
      <c r="C176" s="2614" t="s">
        <v>1080</v>
      </c>
      <c r="D176" s="1345" t="s">
        <v>471</v>
      </c>
      <c r="E176" s="1335">
        <v>4.5</v>
      </c>
      <c r="F176" s="318">
        <f>H176/E176-1</f>
        <v>-0.22222222222222221</v>
      </c>
      <c r="G176" s="225">
        <v>8.3000000000000007</v>
      </c>
      <c r="H176" s="225">
        <f>SUM(H178,H179)</f>
        <v>3.5</v>
      </c>
      <c r="I176" s="510">
        <f t="shared" ref="I176:I177" si="68">K176/H176-1</f>
        <v>0.34285714285714297</v>
      </c>
      <c r="J176" s="230">
        <f>SUM(J186,J187,J188,J189,J190,J191,)</f>
        <v>10</v>
      </c>
      <c r="K176" s="225">
        <f>SUM(K186,K187,K188,K189,K190,K191,K180,K181,K182,K183,K184,K185)</f>
        <v>4.7</v>
      </c>
      <c r="L176" s="225">
        <f t="shared" ref="L176:M176" si="69">SUM(L186,L187,L188,L189,L190,L191,L180,L181,L182,L183,L184,L185)</f>
        <v>4.7</v>
      </c>
      <c r="M176" s="225">
        <f t="shared" si="69"/>
        <v>4.7</v>
      </c>
      <c r="N176" s="2489" t="s">
        <v>2469</v>
      </c>
      <c r="O176" s="2395" t="s">
        <v>2296</v>
      </c>
      <c r="P176" s="2488"/>
      <c r="Q176" s="2475" t="s">
        <v>1138</v>
      </c>
      <c r="R176" s="2342" t="s">
        <v>2781</v>
      </c>
      <c r="S176" s="2475" t="s">
        <v>308</v>
      </c>
      <c r="T176" s="2475" t="s">
        <v>308</v>
      </c>
      <c r="U176" s="2475" t="s">
        <v>308</v>
      </c>
      <c r="V176" s="2507" t="s">
        <v>308</v>
      </c>
      <c r="W176" s="296" t="s">
        <v>2295</v>
      </c>
    </row>
    <row r="177" spans="1:23" ht="95.25" customHeight="1">
      <c r="A177" s="2616"/>
      <c r="B177" s="2611"/>
      <c r="C177" s="2614"/>
      <c r="D177" s="1346" t="s">
        <v>1121</v>
      </c>
      <c r="E177" s="1336">
        <f>E176</f>
        <v>4.5</v>
      </c>
      <c r="F177" s="725">
        <f t="shared" ref="F177:F333" si="70">(H177-E177)/E177</f>
        <v>-0.22222222222222221</v>
      </c>
      <c r="G177" s="227">
        <f t="shared" ref="G177" si="71">G176</f>
        <v>8.3000000000000007</v>
      </c>
      <c r="H177" s="227">
        <f t="shared" ref="H177:M177" si="72">H176</f>
        <v>3.5</v>
      </c>
      <c r="I177" s="506">
        <f t="shared" si="68"/>
        <v>0.34285714285714297</v>
      </c>
      <c r="J177" s="273">
        <f t="shared" si="72"/>
        <v>10</v>
      </c>
      <c r="K177" s="224">
        <f t="shared" si="72"/>
        <v>4.7</v>
      </c>
      <c r="L177" s="224">
        <f t="shared" si="72"/>
        <v>4.7</v>
      </c>
      <c r="M177" s="224">
        <f t="shared" si="72"/>
        <v>4.7</v>
      </c>
      <c r="N177" s="2489"/>
      <c r="O177" s="2396"/>
      <c r="P177" s="2488"/>
      <c r="Q177" s="2475"/>
      <c r="R177" s="2342"/>
      <c r="S177" s="2475"/>
      <c r="T177" s="2475"/>
      <c r="U177" s="2475"/>
      <c r="V177" s="2508"/>
      <c r="W177" s="284" t="s">
        <v>2470</v>
      </c>
    </row>
    <row r="178" spans="1:23" ht="39" hidden="1" customHeight="1">
      <c r="A178" s="1347"/>
      <c r="B178" s="1348" t="s">
        <v>2703</v>
      </c>
      <c r="C178" s="1349"/>
      <c r="D178" s="1350" t="s">
        <v>471</v>
      </c>
      <c r="E178" s="1337"/>
      <c r="F178" s="553"/>
      <c r="G178" s="513"/>
      <c r="H178" s="513">
        <v>3</v>
      </c>
      <c r="I178" s="513"/>
      <c r="J178" s="515">
        <v>3.3</v>
      </c>
      <c r="K178" s="513">
        <v>3.3</v>
      </c>
      <c r="L178" s="513">
        <v>3.3</v>
      </c>
      <c r="M178" s="513">
        <v>3.3</v>
      </c>
      <c r="N178" s="2639"/>
      <c r="O178" s="2640"/>
      <c r="P178" s="2488"/>
      <c r="Q178" s="2509"/>
      <c r="R178" s="2510"/>
      <c r="S178" s="2510"/>
      <c r="T178" s="2510"/>
      <c r="U178" s="2510"/>
      <c r="V178" s="2510"/>
      <c r="W178" s="2511"/>
    </row>
    <row r="179" spans="1:23" ht="39" hidden="1" customHeight="1">
      <c r="A179" s="1351"/>
      <c r="B179" s="1348" t="s">
        <v>2742</v>
      </c>
      <c r="C179" s="1349"/>
      <c r="D179" s="1350"/>
      <c r="E179" s="1337"/>
      <c r="F179" s="553"/>
      <c r="G179" s="513"/>
      <c r="H179" s="513">
        <v>0.5</v>
      </c>
      <c r="I179" s="513"/>
      <c r="J179" s="564"/>
      <c r="K179" s="563"/>
      <c r="L179" s="563"/>
      <c r="M179" s="563"/>
      <c r="N179" s="2641"/>
      <c r="O179" s="2642"/>
      <c r="P179" s="2488"/>
      <c r="Q179" s="2512"/>
      <c r="R179" s="2513"/>
      <c r="S179" s="2513"/>
      <c r="T179" s="2513"/>
      <c r="U179" s="2513"/>
      <c r="V179" s="2513"/>
      <c r="W179" s="2514"/>
    </row>
    <row r="180" spans="1:23" ht="39" hidden="1" customHeight="1">
      <c r="A180" s="1351"/>
      <c r="B180" s="1348" t="s">
        <v>3849</v>
      </c>
      <c r="C180" s="1349"/>
      <c r="D180" s="1350" t="s">
        <v>471</v>
      </c>
      <c r="E180" s="1337"/>
      <c r="F180" s="553"/>
      <c r="G180" s="513"/>
      <c r="H180" s="513"/>
      <c r="I180" s="513"/>
      <c r="J180" s="564"/>
      <c r="K180" s="563">
        <v>0.7</v>
      </c>
      <c r="L180" s="563"/>
      <c r="M180" s="563"/>
      <c r="N180" s="2641"/>
      <c r="O180" s="2642"/>
      <c r="P180" s="2488"/>
      <c r="Q180" s="2512"/>
      <c r="R180" s="2513"/>
      <c r="S180" s="2513"/>
      <c r="T180" s="2513"/>
      <c r="U180" s="2513"/>
      <c r="V180" s="2513"/>
      <c r="W180" s="2514"/>
    </row>
    <row r="181" spans="1:23" ht="39" hidden="1" customHeight="1">
      <c r="A181" s="1351"/>
      <c r="B181" s="1348" t="s">
        <v>3850</v>
      </c>
      <c r="C181" s="1349"/>
      <c r="D181" s="1350" t="s">
        <v>471</v>
      </c>
      <c r="E181" s="1337"/>
      <c r="F181" s="553"/>
      <c r="G181" s="513"/>
      <c r="H181" s="513"/>
      <c r="I181" s="513"/>
      <c r="J181" s="564"/>
      <c r="K181" s="563">
        <v>0.7</v>
      </c>
      <c r="L181" s="563"/>
      <c r="M181" s="563"/>
      <c r="N181" s="2641"/>
      <c r="O181" s="2642"/>
      <c r="P181" s="2488"/>
      <c r="Q181" s="2512"/>
      <c r="R181" s="2513"/>
      <c r="S181" s="2513"/>
      <c r="T181" s="2513"/>
      <c r="U181" s="2513"/>
      <c r="V181" s="2513"/>
      <c r="W181" s="2514"/>
    </row>
    <row r="182" spans="1:23" ht="39" hidden="1" customHeight="1">
      <c r="A182" s="1351"/>
      <c r="B182" s="1348" t="s">
        <v>3851</v>
      </c>
      <c r="C182" s="1349"/>
      <c r="D182" s="1350" t="s">
        <v>471</v>
      </c>
      <c r="E182" s="1337"/>
      <c r="F182" s="553"/>
      <c r="G182" s="513"/>
      <c r="H182" s="513"/>
      <c r="I182" s="513"/>
      <c r="J182" s="564"/>
      <c r="K182" s="563"/>
      <c r="L182" s="563">
        <v>0.7</v>
      </c>
      <c r="M182" s="563"/>
      <c r="N182" s="2641"/>
      <c r="O182" s="2642"/>
      <c r="P182" s="2488"/>
      <c r="Q182" s="2512"/>
      <c r="R182" s="2513"/>
      <c r="S182" s="2513"/>
      <c r="T182" s="2513"/>
      <c r="U182" s="2513"/>
      <c r="V182" s="2513"/>
      <c r="W182" s="2514"/>
    </row>
    <row r="183" spans="1:23" ht="39" hidden="1" customHeight="1">
      <c r="A183" s="1351"/>
      <c r="B183" s="1348" t="s">
        <v>3852</v>
      </c>
      <c r="C183" s="1349"/>
      <c r="D183" s="1350" t="s">
        <v>471</v>
      </c>
      <c r="E183" s="1337"/>
      <c r="F183" s="553"/>
      <c r="G183" s="513"/>
      <c r="H183" s="513"/>
      <c r="I183" s="513"/>
      <c r="J183" s="564"/>
      <c r="K183" s="563"/>
      <c r="L183" s="563">
        <v>0.7</v>
      </c>
      <c r="M183" s="563"/>
      <c r="N183" s="2641"/>
      <c r="O183" s="2642"/>
      <c r="P183" s="2488"/>
      <c r="Q183" s="2512"/>
      <c r="R183" s="2513"/>
      <c r="S183" s="2513"/>
      <c r="T183" s="2513"/>
      <c r="U183" s="2513"/>
      <c r="V183" s="2513"/>
      <c r="W183" s="2514"/>
    </row>
    <row r="184" spans="1:23" ht="39" hidden="1" customHeight="1">
      <c r="A184" s="1351"/>
      <c r="B184" s="1348" t="s">
        <v>3853</v>
      </c>
      <c r="C184" s="1349"/>
      <c r="D184" s="1350" t="s">
        <v>471</v>
      </c>
      <c r="E184" s="1337"/>
      <c r="F184" s="553"/>
      <c r="G184" s="513"/>
      <c r="H184" s="513"/>
      <c r="I184" s="513"/>
      <c r="J184" s="564"/>
      <c r="K184" s="563"/>
      <c r="L184" s="563"/>
      <c r="M184" s="563">
        <v>0.7</v>
      </c>
      <c r="N184" s="2641"/>
      <c r="O184" s="2642"/>
      <c r="P184" s="2488"/>
      <c r="Q184" s="2512"/>
      <c r="R184" s="2513"/>
      <c r="S184" s="2513"/>
      <c r="T184" s="2513"/>
      <c r="U184" s="2513"/>
      <c r="V184" s="2513"/>
      <c r="W184" s="2514"/>
    </row>
    <row r="185" spans="1:23" ht="39" hidden="1" customHeight="1">
      <c r="A185" s="1351"/>
      <c r="B185" s="1348" t="s">
        <v>1835</v>
      </c>
      <c r="C185" s="1349"/>
      <c r="D185" s="1350" t="s">
        <v>471</v>
      </c>
      <c r="E185" s="1337"/>
      <c r="F185" s="553"/>
      <c r="G185" s="513"/>
      <c r="H185" s="513"/>
      <c r="I185" s="513"/>
      <c r="J185" s="564"/>
      <c r="K185" s="563"/>
      <c r="L185" s="563"/>
      <c r="M185" s="563">
        <v>0.7</v>
      </c>
      <c r="N185" s="2643"/>
      <c r="O185" s="2644"/>
      <c r="P185" s="2488"/>
      <c r="Q185" s="2515"/>
      <c r="R185" s="2516"/>
      <c r="S185" s="2516"/>
      <c r="T185" s="2516"/>
      <c r="U185" s="2516"/>
      <c r="V185" s="2516"/>
      <c r="W185" s="2517"/>
    </row>
    <row r="186" spans="1:23" ht="39" hidden="1" customHeight="1">
      <c r="A186" s="1347" t="s">
        <v>3250</v>
      </c>
      <c r="B186" s="1348" t="s">
        <v>3299</v>
      </c>
      <c r="C186" s="1349" t="s">
        <v>3285</v>
      </c>
      <c r="D186" s="1350"/>
      <c r="E186" s="1338"/>
      <c r="F186" s="745"/>
      <c r="G186" s="623"/>
      <c r="H186" s="623"/>
      <c r="I186" s="623"/>
      <c r="J186" s="515">
        <v>1.7</v>
      </c>
      <c r="K186" s="514">
        <v>0</v>
      </c>
      <c r="L186" s="514">
        <v>0</v>
      </c>
      <c r="M186" s="514">
        <v>0</v>
      </c>
      <c r="N186" s="1328"/>
      <c r="O186" s="554" t="s">
        <v>3300</v>
      </c>
      <c r="P186" s="2488"/>
      <c r="Q186" s="289"/>
      <c r="R186" s="324"/>
      <c r="S186" s="323"/>
      <c r="T186" s="323"/>
      <c r="U186" s="323"/>
      <c r="V186" s="333"/>
      <c r="W186" s="333"/>
    </row>
    <row r="187" spans="1:23" ht="39" hidden="1" customHeight="1">
      <c r="A187" s="1347"/>
      <c r="B187" s="1348" t="s">
        <v>3301</v>
      </c>
      <c r="C187" s="1349" t="s">
        <v>3285</v>
      </c>
      <c r="D187" s="1350"/>
      <c r="E187" s="1337"/>
      <c r="F187" s="553"/>
      <c r="G187" s="513"/>
      <c r="H187" s="513"/>
      <c r="I187" s="513"/>
      <c r="J187" s="515">
        <v>2.2999999999999998</v>
      </c>
      <c r="K187" s="514">
        <v>2.2999999999999998</v>
      </c>
      <c r="L187" s="514">
        <v>2.2999999999999998</v>
      </c>
      <c r="M187" s="514">
        <v>2.2999999999999998</v>
      </c>
      <c r="N187" s="1328"/>
      <c r="O187" s="554" t="s">
        <v>3302</v>
      </c>
      <c r="P187" s="2488"/>
      <c r="Q187" s="289"/>
      <c r="R187" s="324"/>
      <c r="S187" s="323"/>
      <c r="T187" s="323"/>
      <c r="U187" s="323"/>
      <c r="V187" s="333"/>
      <c r="W187" s="333"/>
    </row>
    <row r="188" spans="1:23" ht="39" hidden="1" customHeight="1">
      <c r="A188" s="1347"/>
      <c r="B188" s="1348" t="s">
        <v>3303</v>
      </c>
      <c r="C188" s="1349" t="s">
        <v>3285</v>
      </c>
      <c r="D188" s="1350"/>
      <c r="E188" s="1337"/>
      <c r="F188" s="553"/>
      <c r="G188" s="513"/>
      <c r="H188" s="513"/>
      <c r="I188" s="513"/>
      <c r="J188" s="515">
        <v>0.3</v>
      </c>
      <c r="K188" s="514">
        <v>0</v>
      </c>
      <c r="L188" s="514">
        <v>0</v>
      </c>
      <c r="M188" s="514">
        <v>0</v>
      </c>
      <c r="N188" s="1328"/>
      <c r="O188" s="513" t="s">
        <v>3304</v>
      </c>
      <c r="P188" s="2488"/>
      <c r="Q188" s="289"/>
      <c r="R188" s="324"/>
      <c r="S188" s="323"/>
      <c r="T188" s="323"/>
      <c r="U188" s="323"/>
      <c r="V188" s="333"/>
      <c r="W188" s="333"/>
    </row>
    <row r="189" spans="1:23" ht="39" hidden="1" customHeight="1">
      <c r="A189" s="1347"/>
      <c r="B189" s="1348" t="s">
        <v>3305</v>
      </c>
      <c r="C189" s="1349" t="s">
        <v>3285</v>
      </c>
      <c r="D189" s="1350"/>
      <c r="E189" s="1337"/>
      <c r="F189" s="553"/>
      <c r="G189" s="513"/>
      <c r="H189" s="513"/>
      <c r="I189" s="513"/>
      <c r="J189" s="515">
        <v>3</v>
      </c>
      <c r="K189" s="514">
        <v>0</v>
      </c>
      <c r="L189" s="514">
        <v>0</v>
      </c>
      <c r="M189" s="514">
        <v>0</v>
      </c>
      <c r="N189" s="1328"/>
      <c r="O189" s="513" t="s">
        <v>3304</v>
      </c>
      <c r="P189" s="2488"/>
      <c r="Q189" s="289"/>
      <c r="R189" s="324"/>
      <c r="S189" s="323"/>
      <c r="T189" s="323"/>
      <c r="U189" s="323"/>
      <c r="V189" s="333"/>
      <c r="W189" s="333"/>
    </row>
    <row r="190" spans="1:23" ht="39" hidden="1" customHeight="1">
      <c r="A190" s="1347"/>
      <c r="B190" s="1348" t="s">
        <v>3306</v>
      </c>
      <c r="C190" s="1349" t="s">
        <v>3285</v>
      </c>
      <c r="D190" s="1350"/>
      <c r="E190" s="1337"/>
      <c r="F190" s="553"/>
      <c r="G190" s="513"/>
      <c r="H190" s="513"/>
      <c r="I190" s="513"/>
      <c r="J190" s="515">
        <v>1</v>
      </c>
      <c r="K190" s="514">
        <v>1</v>
      </c>
      <c r="L190" s="514">
        <v>1</v>
      </c>
      <c r="M190" s="514">
        <v>1</v>
      </c>
      <c r="N190" s="1328"/>
      <c r="O190" s="513" t="s">
        <v>3307</v>
      </c>
      <c r="P190" s="2488"/>
      <c r="Q190" s="289"/>
      <c r="R190" s="324"/>
      <c r="S190" s="323"/>
      <c r="T190" s="323"/>
      <c r="U190" s="323"/>
      <c r="V190" s="333"/>
      <c r="W190" s="333"/>
    </row>
    <row r="191" spans="1:23" ht="39" hidden="1" customHeight="1">
      <c r="A191" s="1347"/>
      <c r="B191" s="1348" t="s">
        <v>3308</v>
      </c>
      <c r="C191" s="1349" t="s">
        <v>3285</v>
      </c>
      <c r="D191" s="1350"/>
      <c r="E191" s="1339"/>
      <c r="F191" s="649"/>
      <c r="G191" s="563"/>
      <c r="H191" s="563"/>
      <c r="I191" s="513"/>
      <c r="J191" s="515">
        <v>1.7</v>
      </c>
      <c r="K191" s="514">
        <v>0</v>
      </c>
      <c r="L191" s="514">
        <v>0</v>
      </c>
      <c r="M191" s="514">
        <v>0</v>
      </c>
      <c r="N191" s="1328"/>
      <c r="O191" s="554" t="s">
        <v>3309</v>
      </c>
      <c r="P191" s="2488"/>
      <c r="Q191" s="289"/>
      <c r="R191" s="324"/>
      <c r="S191" s="323"/>
      <c r="T191" s="323"/>
      <c r="U191" s="323"/>
      <c r="V191" s="333"/>
      <c r="W191" s="333"/>
    </row>
    <row r="192" spans="1:23" ht="39" hidden="1" customHeight="1">
      <c r="A192" s="1347"/>
      <c r="B192" s="1352" t="s">
        <v>3282</v>
      </c>
      <c r="C192" s="1349"/>
      <c r="D192" s="1350"/>
      <c r="E192" s="1337"/>
      <c r="F192" s="553"/>
      <c r="G192" s="513"/>
      <c r="H192" s="513"/>
      <c r="I192" s="513"/>
      <c r="J192" s="515">
        <v>1</v>
      </c>
      <c r="K192" s="514"/>
      <c r="L192" s="514"/>
      <c r="M192" s="514"/>
      <c r="N192" s="1329"/>
      <c r="O192" s="662" t="s">
        <v>3572</v>
      </c>
      <c r="P192" s="2488"/>
      <c r="Q192" s="289"/>
      <c r="R192" s="324"/>
      <c r="S192" s="323"/>
      <c r="T192" s="323"/>
      <c r="U192" s="323"/>
      <c r="V192" s="333"/>
      <c r="W192" s="333"/>
    </row>
    <row r="193" spans="1:25" ht="39" customHeight="1">
      <c r="A193" s="2616" t="s">
        <v>2043</v>
      </c>
      <c r="B193" s="2611" t="s">
        <v>1131</v>
      </c>
      <c r="C193" s="2614" t="s">
        <v>1080</v>
      </c>
      <c r="D193" s="1345" t="s">
        <v>471</v>
      </c>
      <c r="E193" s="663">
        <v>0.8</v>
      </c>
      <c r="F193" s="336">
        <f>H193/E193-1</f>
        <v>0.125</v>
      </c>
      <c r="G193" s="222">
        <v>0.9</v>
      </c>
      <c r="H193" s="222">
        <v>0.9</v>
      </c>
      <c r="I193" s="510">
        <f>K193/H193-1</f>
        <v>0.11111111111111116</v>
      </c>
      <c r="J193" s="230">
        <f>J200</f>
        <v>1</v>
      </c>
      <c r="K193" s="225">
        <f>K200</f>
        <v>1</v>
      </c>
      <c r="L193" s="225">
        <f t="shared" ref="L193:M193" si="73">L200</f>
        <v>1</v>
      </c>
      <c r="M193" s="225">
        <f t="shared" si="73"/>
        <v>1</v>
      </c>
      <c r="N193" s="2610" t="s">
        <v>1860</v>
      </c>
      <c r="O193" s="2395" t="s">
        <v>2297</v>
      </c>
      <c r="P193" s="2488"/>
      <c r="Q193" s="2475" t="s">
        <v>1150</v>
      </c>
      <c r="R193" s="2342" t="s">
        <v>2993</v>
      </c>
      <c r="S193" s="2475" t="s">
        <v>308</v>
      </c>
      <c r="T193" s="2475" t="s">
        <v>308</v>
      </c>
      <c r="U193" s="2475" t="s">
        <v>308</v>
      </c>
      <c r="V193" s="2507" t="s">
        <v>308</v>
      </c>
      <c r="W193" s="2477" t="s">
        <v>858</v>
      </c>
    </row>
    <row r="194" spans="1:25" ht="39" customHeight="1">
      <c r="A194" s="2616"/>
      <c r="B194" s="2611"/>
      <c r="C194" s="2614"/>
      <c r="D194" s="1345" t="s">
        <v>1124</v>
      </c>
      <c r="E194" s="520">
        <v>5.6</v>
      </c>
      <c r="F194" s="318">
        <f>H194/E194-1</f>
        <v>7.1428571428571397E-2</v>
      </c>
      <c r="G194" s="225">
        <f>SUM(G197,G199)</f>
        <v>10.705</v>
      </c>
      <c r="H194" s="225">
        <f>H199</f>
        <v>6</v>
      </c>
      <c r="I194" s="510">
        <f t="shared" ref="I194:I196" si="74">K194/H194-1</f>
        <v>3.3333333333333437E-2</v>
      </c>
      <c r="J194" s="230">
        <f>J201</f>
        <v>11</v>
      </c>
      <c r="K194" s="225">
        <v>6.2</v>
      </c>
      <c r="L194" s="225">
        <v>6.2</v>
      </c>
      <c r="M194" s="225">
        <v>6.2</v>
      </c>
      <c r="N194" s="2610"/>
      <c r="O194" s="2396"/>
      <c r="P194" s="2488"/>
      <c r="Q194" s="2475"/>
      <c r="R194" s="2342"/>
      <c r="S194" s="2475"/>
      <c r="T194" s="2475"/>
      <c r="U194" s="2475"/>
      <c r="V194" s="2533"/>
      <c r="W194" s="2478"/>
    </row>
    <row r="195" spans="1:25" ht="39" customHeight="1">
      <c r="A195" s="2616"/>
      <c r="B195" s="2611"/>
      <c r="C195" s="2614"/>
      <c r="D195" s="1345" t="s">
        <v>1389</v>
      </c>
      <c r="E195" s="231"/>
      <c r="F195" s="318"/>
      <c r="G195" s="225"/>
      <c r="H195" s="225"/>
      <c r="I195" s="510"/>
      <c r="J195" s="230"/>
      <c r="K195" s="225">
        <f>K198</f>
        <v>0.1</v>
      </c>
      <c r="L195" s="225"/>
      <c r="M195" s="225"/>
      <c r="N195" s="2610"/>
      <c r="O195" s="2396"/>
      <c r="P195" s="2488"/>
      <c r="Q195" s="2475"/>
      <c r="R195" s="2342"/>
      <c r="S195" s="2475"/>
      <c r="T195" s="2475"/>
      <c r="U195" s="2475"/>
      <c r="V195" s="2533"/>
      <c r="W195" s="2478"/>
    </row>
    <row r="196" spans="1:25" ht="39" customHeight="1">
      <c r="A196" s="2616"/>
      <c r="B196" s="2611"/>
      <c r="C196" s="2614"/>
      <c r="D196" s="1346" t="s">
        <v>1121</v>
      </c>
      <c r="E196" s="527">
        <f>SUM(E193:E194)</f>
        <v>6.3999999999999995</v>
      </c>
      <c r="F196" s="321">
        <f>H196/E196-1</f>
        <v>7.8125000000000222E-2</v>
      </c>
      <c r="G196" s="224">
        <f t="shared" ref="G196" si="75">SUM(G193:G194)</f>
        <v>11.605</v>
      </c>
      <c r="H196" s="224">
        <f t="shared" ref="H196" si="76">SUM(H193:H194)</f>
        <v>6.9</v>
      </c>
      <c r="I196" s="526">
        <f t="shared" si="74"/>
        <v>5.7971014492753437E-2</v>
      </c>
      <c r="J196" s="273">
        <f>SUM(J193,J194)</f>
        <v>12</v>
      </c>
      <c r="K196" s="224">
        <f>SUM(K193,K194,K195)</f>
        <v>7.3</v>
      </c>
      <c r="L196" s="224">
        <f t="shared" ref="L196:M196" si="77">SUM(L193,L194,L195)</f>
        <v>7.2</v>
      </c>
      <c r="M196" s="224">
        <f t="shared" si="77"/>
        <v>7.2</v>
      </c>
      <c r="N196" s="2360"/>
      <c r="O196" s="2396"/>
      <c r="P196" s="2488"/>
      <c r="Q196" s="2475"/>
      <c r="R196" s="2342"/>
      <c r="S196" s="2475"/>
      <c r="T196" s="2475"/>
      <c r="U196" s="2475"/>
      <c r="V196" s="2508"/>
      <c r="W196" s="2479"/>
    </row>
    <row r="197" spans="1:25" ht="39" hidden="1" customHeight="1">
      <c r="A197" s="1341" t="s">
        <v>3249</v>
      </c>
      <c r="B197" s="1342" t="s">
        <v>1145</v>
      </c>
      <c r="C197" s="1343"/>
      <c r="D197" s="1344" t="s">
        <v>1834</v>
      </c>
      <c r="E197" s="546"/>
      <c r="F197" s="550"/>
      <c r="G197" s="546">
        <v>0.70499999999999996</v>
      </c>
      <c r="H197" s="546">
        <v>0.70499999999999996</v>
      </c>
      <c r="I197" s="546"/>
      <c r="J197" s="549"/>
      <c r="K197" s="546">
        <v>0</v>
      </c>
      <c r="L197" s="546">
        <v>0</v>
      </c>
      <c r="M197" s="551"/>
      <c r="N197" s="1330"/>
      <c r="O197" s="546"/>
      <c r="P197" s="2488"/>
      <c r="Q197" s="547"/>
      <c r="R197" s="547"/>
      <c r="S197" s="547"/>
      <c r="T197" s="547"/>
      <c r="U197" s="547"/>
      <c r="V197" s="547"/>
      <c r="W197" s="547"/>
    </row>
    <row r="198" spans="1:25" ht="39" hidden="1" customHeight="1">
      <c r="A198" s="744"/>
      <c r="B198" s="961" t="s">
        <v>3854</v>
      </c>
      <c r="C198" s="751"/>
      <c r="D198" s="512" t="s">
        <v>1389</v>
      </c>
      <c r="E198" s="513"/>
      <c r="F198" s="532"/>
      <c r="G198" s="513"/>
      <c r="H198" s="513"/>
      <c r="I198" s="513"/>
      <c r="J198" s="515"/>
      <c r="K198" s="513">
        <v>0.1</v>
      </c>
      <c r="L198" s="545"/>
      <c r="M198" s="545"/>
      <c r="N198" s="934"/>
      <c r="O198" s="233"/>
      <c r="P198" s="2488"/>
      <c r="Q198" s="289"/>
      <c r="R198" s="289"/>
      <c r="S198" s="289"/>
      <c r="T198" s="289"/>
      <c r="U198" s="289"/>
      <c r="V198" s="290"/>
      <c r="W198" s="290"/>
    </row>
    <row r="199" spans="1:25" ht="39" hidden="1" customHeight="1">
      <c r="A199" s="335"/>
      <c r="B199" s="961" t="s">
        <v>2703</v>
      </c>
      <c r="C199" s="719"/>
      <c r="D199" s="512" t="s">
        <v>1834</v>
      </c>
      <c r="E199" s="233"/>
      <c r="F199" s="322"/>
      <c r="G199" s="233">
        <v>10</v>
      </c>
      <c r="H199" s="513">
        <v>6</v>
      </c>
      <c r="I199" s="513"/>
      <c r="J199" s="515"/>
      <c r="K199" s="513">
        <v>0</v>
      </c>
      <c r="L199" s="545">
        <v>0</v>
      </c>
      <c r="M199" s="545">
        <v>0</v>
      </c>
      <c r="N199" s="934"/>
      <c r="O199" s="233"/>
      <c r="P199" s="2488"/>
      <c r="Q199" s="289"/>
      <c r="R199" s="289"/>
      <c r="S199" s="289"/>
      <c r="T199" s="289"/>
      <c r="U199" s="289"/>
      <c r="V199" s="290"/>
      <c r="W199" s="290"/>
    </row>
    <row r="200" spans="1:25" ht="39" hidden="1" customHeight="1">
      <c r="A200" s="548"/>
      <c r="B200" s="957" t="s">
        <v>3310</v>
      </c>
      <c r="C200" s="543" t="s">
        <v>3285</v>
      </c>
      <c r="D200" s="512" t="s">
        <v>471</v>
      </c>
      <c r="E200" s="513"/>
      <c r="F200" s="553"/>
      <c r="G200" s="513"/>
      <c r="H200" s="513"/>
      <c r="I200" s="513"/>
      <c r="J200" s="515">
        <v>1</v>
      </c>
      <c r="K200" s="513">
        <v>1</v>
      </c>
      <c r="L200" s="513">
        <v>1</v>
      </c>
      <c r="M200" s="513">
        <v>1</v>
      </c>
      <c r="N200" s="1328"/>
      <c r="O200" s="513" t="s">
        <v>3311</v>
      </c>
      <c r="P200" s="2488"/>
      <c r="Q200" s="289"/>
      <c r="R200" s="324"/>
      <c r="S200" s="323"/>
      <c r="T200" s="323"/>
      <c r="U200" s="323"/>
      <c r="V200" s="333"/>
      <c r="W200" s="333"/>
    </row>
    <row r="201" spans="1:25" ht="39" hidden="1" customHeight="1">
      <c r="A201" s="548"/>
      <c r="B201" s="957" t="s">
        <v>3312</v>
      </c>
      <c r="C201" s="543" t="s">
        <v>3285</v>
      </c>
      <c r="D201" s="512" t="s">
        <v>1834</v>
      </c>
      <c r="E201" s="513"/>
      <c r="F201" s="553"/>
      <c r="G201" s="513"/>
      <c r="H201" s="513"/>
      <c r="I201" s="513"/>
      <c r="J201" s="515">
        <v>11</v>
      </c>
      <c r="K201" s="513"/>
      <c r="L201" s="513"/>
      <c r="M201" s="513"/>
      <c r="N201" s="1328"/>
      <c r="O201" s="513" t="s">
        <v>3313</v>
      </c>
      <c r="P201" s="2488"/>
      <c r="Q201" s="289"/>
      <c r="R201" s="324"/>
      <c r="S201" s="323"/>
      <c r="T201" s="323"/>
      <c r="U201" s="323"/>
      <c r="V201" s="333"/>
      <c r="W201" s="333"/>
    </row>
    <row r="202" spans="1:25" ht="33.75" customHeight="1">
      <c r="A202" s="2578" t="s">
        <v>2044</v>
      </c>
      <c r="B202" s="2366" t="s">
        <v>1132</v>
      </c>
      <c r="C202" s="2577" t="s">
        <v>1080</v>
      </c>
      <c r="D202" s="299" t="s">
        <v>2928</v>
      </c>
      <c r="E202" s="225">
        <v>8</v>
      </c>
      <c r="F202" s="318">
        <f>H202/E202-1</f>
        <v>4.3962500000000002</v>
      </c>
      <c r="G202" s="225">
        <f>SUM(G209,G213,G215,)</f>
        <v>63.082000000000001</v>
      </c>
      <c r="H202" s="230">
        <f>SUM(H209,H213,H215,)</f>
        <v>43.17</v>
      </c>
      <c r="I202" s="510">
        <f t="shared" ref="I202:I208" si="78">K202/H202-1</f>
        <v>-0.68781561269400049</v>
      </c>
      <c r="J202" s="230">
        <f>SUM(J209,J215,J219)</f>
        <v>5.4770000000000003</v>
      </c>
      <c r="K202" s="225">
        <f>SUM(K209,K215,K219)</f>
        <v>13.477</v>
      </c>
      <c r="L202" s="225">
        <f t="shared" ref="L202:M202" si="79">SUM(L209,L215,L219)</f>
        <v>0</v>
      </c>
      <c r="M202" s="225">
        <f t="shared" si="79"/>
        <v>0</v>
      </c>
      <c r="N202" s="2476" t="s">
        <v>2294</v>
      </c>
      <c r="O202" s="2395" t="s">
        <v>4127</v>
      </c>
      <c r="P202" s="2488"/>
      <c r="Q202" s="2475" t="s">
        <v>1151</v>
      </c>
      <c r="R202" s="2475" t="s">
        <v>1139</v>
      </c>
      <c r="S202" s="2475" t="s">
        <v>1409</v>
      </c>
      <c r="T202" s="2475" t="s">
        <v>324</v>
      </c>
      <c r="U202" s="2475" t="s">
        <v>433</v>
      </c>
      <c r="V202" s="2507" t="s">
        <v>433</v>
      </c>
      <c r="W202" s="2477" t="s">
        <v>3045</v>
      </c>
    </row>
    <row r="203" spans="1:25" ht="33" customHeight="1">
      <c r="A203" s="2578"/>
      <c r="B203" s="2366"/>
      <c r="C203" s="2577"/>
      <c r="D203" s="299" t="s">
        <v>471</v>
      </c>
      <c r="E203" s="225"/>
      <c r="F203" s="318"/>
      <c r="G203" s="225"/>
      <c r="H203" s="225"/>
      <c r="I203" s="510"/>
      <c r="J203" s="230"/>
      <c r="K203" s="225"/>
      <c r="L203" s="225"/>
      <c r="M203" s="225"/>
      <c r="N203" s="2476"/>
      <c r="O203" s="2395"/>
      <c r="P203" s="2488"/>
      <c r="Q203" s="2475"/>
      <c r="R203" s="2475"/>
      <c r="S203" s="2475"/>
      <c r="T203" s="2475"/>
      <c r="U203" s="2475"/>
      <c r="V203" s="2533"/>
      <c r="W203" s="2478"/>
    </row>
    <row r="204" spans="1:25" ht="29.25" hidden="1" customHeight="1">
      <c r="A204" s="2578"/>
      <c r="B204" s="2366"/>
      <c r="C204" s="2577"/>
      <c r="D204" s="299" t="s">
        <v>1389</v>
      </c>
      <c r="E204" s="225"/>
      <c r="F204" s="318"/>
      <c r="G204" s="225"/>
      <c r="H204" s="225"/>
      <c r="I204" s="510" t="e">
        <f t="shared" si="78"/>
        <v>#DIV/0!</v>
      </c>
      <c r="J204" s="230"/>
      <c r="K204" s="225"/>
      <c r="L204" s="225"/>
      <c r="M204" s="225"/>
      <c r="N204" s="2476"/>
      <c r="O204" s="2395"/>
      <c r="P204" s="2488"/>
      <c r="Q204" s="2475"/>
      <c r="R204" s="2475"/>
      <c r="S204" s="2475"/>
      <c r="T204" s="2475"/>
      <c r="U204" s="2475"/>
      <c r="V204" s="2533"/>
      <c r="W204" s="2478"/>
    </row>
    <row r="205" spans="1:25" ht="39" hidden="1" customHeight="1">
      <c r="A205" s="2578"/>
      <c r="B205" s="2366"/>
      <c r="C205" s="2577"/>
      <c r="D205" s="299" t="s">
        <v>1149</v>
      </c>
      <c r="E205" s="298">
        <v>66.822000000000003</v>
      </c>
      <c r="F205" s="318">
        <f>H205/E205-1</f>
        <v>-0.37655263236658598</v>
      </c>
      <c r="G205" s="298">
        <f>SUM(G211,G214,)</f>
        <v>91.88</v>
      </c>
      <c r="H205" s="225">
        <f>SUM(H211,H214,)</f>
        <v>41.66</v>
      </c>
      <c r="I205" s="510">
        <f t="shared" si="78"/>
        <v>-1</v>
      </c>
      <c r="J205" s="230"/>
      <c r="K205" s="225">
        <v>0</v>
      </c>
      <c r="L205" s="225">
        <f t="shared" ref="L205" si="80">SUM(L211,L214,)</f>
        <v>0</v>
      </c>
      <c r="M205" s="225"/>
      <c r="N205" s="2476"/>
      <c r="O205" s="2396"/>
      <c r="P205" s="2488"/>
      <c r="Q205" s="2475"/>
      <c r="R205" s="2475"/>
      <c r="S205" s="2475"/>
      <c r="T205" s="2475"/>
      <c r="U205" s="2475"/>
      <c r="V205" s="2533"/>
      <c r="W205" s="2478"/>
    </row>
    <row r="206" spans="1:25" ht="39" customHeight="1">
      <c r="A206" s="2578"/>
      <c r="B206" s="2366"/>
      <c r="C206" s="2577"/>
      <c r="D206" s="299" t="s">
        <v>413</v>
      </c>
      <c r="E206" s="298"/>
      <c r="F206" s="318"/>
      <c r="G206" s="298">
        <f>SUM(G217)</f>
        <v>3</v>
      </c>
      <c r="H206" s="225">
        <f>41.66+3</f>
        <v>44.66</v>
      </c>
      <c r="I206" s="510">
        <f t="shared" si="78"/>
        <v>-0.91634572324227492</v>
      </c>
      <c r="J206" s="230">
        <f>SUM(J211,J217)</f>
        <v>1.54</v>
      </c>
      <c r="K206" s="225">
        <f>SUM(K211,K217)</f>
        <v>3.7360000000000002</v>
      </c>
      <c r="L206" s="225">
        <f t="shared" ref="L206:M206" si="81">SUM(L211,L217)</f>
        <v>0</v>
      </c>
      <c r="M206" s="225">
        <f t="shared" si="81"/>
        <v>0</v>
      </c>
      <c r="N206" s="2476"/>
      <c r="O206" s="2396"/>
      <c r="P206" s="2488"/>
      <c r="Q206" s="2475"/>
      <c r="R206" s="2475"/>
      <c r="S206" s="2475"/>
      <c r="T206" s="2475"/>
      <c r="U206" s="2475"/>
      <c r="V206" s="2533"/>
      <c r="W206" s="2478"/>
      <c r="Y206" s="306"/>
    </row>
    <row r="207" spans="1:25" ht="39" customHeight="1">
      <c r="A207" s="2578"/>
      <c r="B207" s="2366"/>
      <c r="C207" s="2577"/>
      <c r="D207" s="299" t="s">
        <v>246</v>
      </c>
      <c r="E207" s="298"/>
      <c r="F207" s="318"/>
      <c r="G207" s="298">
        <f>SUM(G216)</f>
        <v>20.405999999999999</v>
      </c>
      <c r="H207" s="230">
        <f>SUM(H216)</f>
        <v>242</v>
      </c>
      <c r="I207" s="510">
        <f t="shared" si="78"/>
        <v>-0.68143801652892555</v>
      </c>
      <c r="J207" s="230">
        <f>SUM(J210,J216,)</f>
        <v>61.6</v>
      </c>
      <c r="K207" s="225">
        <f t="shared" ref="K207:M207" si="82">SUM(K210,K216,)</f>
        <v>77.091999999999999</v>
      </c>
      <c r="L207" s="225">
        <f t="shared" si="82"/>
        <v>0</v>
      </c>
      <c r="M207" s="225">
        <f t="shared" si="82"/>
        <v>0</v>
      </c>
      <c r="N207" s="2476"/>
      <c r="O207" s="2396"/>
      <c r="P207" s="2488"/>
      <c r="Q207" s="2475"/>
      <c r="R207" s="2475"/>
      <c r="S207" s="2475"/>
      <c r="T207" s="2475"/>
      <c r="U207" s="2475"/>
      <c r="V207" s="2533"/>
      <c r="W207" s="2478"/>
    </row>
    <row r="208" spans="1:25" ht="39" customHeight="1">
      <c r="A208" s="2579"/>
      <c r="B208" s="2386"/>
      <c r="C208" s="2577"/>
      <c r="D208" s="334" t="s">
        <v>1121</v>
      </c>
      <c r="E208" s="224">
        <f>SUM(E202:E205)</f>
        <v>74.822000000000003</v>
      </c>
      <c r="F208" s="321">
        <f>H208/E208-1</f>
        <v>3.4081954505359384</v>
      </c>
      <c r="G208" s="224">
        <f>SUM(G202:G207)</f>
        <v>178.36799999999999</v>
      </c>
      <c r="H208" s="224">
        <f>H202+H206+H207</f>
        <v>329.83</v>
      </c>
      <c r="I208" s="526">
        <f t="shared" si="78"/>
        <v>-0.71407998059606459</v>
      </c>
      <c r="J208" s="224">
        <f t="shared" ref="J208:M208" si="83">SUM(J202:J207)</f>
        <v>68.617000000000004</v>
      </c>
      <c r="K208" s="224">
        <f>SUM(K202:K207)</f>
        <v>94.305000000000007</v>
      </c>
      <c r="L208" s="224">
        <f t="shared" si="83"/>
        <v>0</v>
      </c>
      <c r="M208" s="224">
        <f t="shared" si="83"/>
        <v>0</v>
      </c>
      <c r="N208" s="2476"/>
      <c r="O208" s="2396"/>
      <c r="P208" s="2488"/>
      <c r="Q208" s="2475"/>
      <c r="R208" s="2475"/>
      <c r="S208" s="2475"/>
      <c r="T208" s="2475"/>
      <c r="U208" s="2475"/>
      <c r="V208" s="2508"/>
      <c r="W208" s="2479"/>
    </row>
    <row r="209" spans="1:23" ht="39" hidden="1" customHeight="1">
      <c r="A209" s="2598" t="s">
        <v>3866</v>
      </c>
      <c r="B209" s="2601" t="s">
        <v>2660</v>
      </c>
      <c r="C209" s="2595"/>
      <c r="D209" s="648" t="s">
        <v>2928</v>
      </c>
      <c r="E209" s="563"/>
      <c r="F209" s="553"/>
      <c r="G209" s="563">
        <v>8</v>
      </c>
      <c r="H209" s="513">
        <v>8</v>
      </c>
      <c r="I209" s="513"/>
      <c r="J209" s="515"/>
      <c r="K209" s="737">
        <v>8</v>
      </c>
      <c r="L209" s="565"/>
      <c r="M209" s="565"/>
      <c r="N209" s="2541"/>
      <c r="O209" s="2542"/>
      <c r="P209" s="2488"/>
      <c r="Q209" s="2509"/>
      <c r="R209" s="2510"/>
      <c r="S209" s="2510"/>
      <c r="T209" s="2510"/>
      <c r="U209" s="2510"/>
      <c r="V209" s="2510"/>
      <c r="W209" s="2511"/>
    </row>
    <row r="210" spans="1:23" ht="39" hidden="1" customHeight="1">
      <c r="A210" s="2599"/>
      <c r="B210" s="2602"/>
      <c r="C210" s="2596"/>
      <c r="D210" s="648" t="s">
        <v>246</v>
      </c>
      <c r="E210" s="563"/>
      <c r="F210" s="553"/>
      <c r="G210" s="563"/>
      <c r="H210" s="513"/>
      <c r="I210" s="764"/>
      <c r="J210" s="515"/>
      <c r="K210" s="737">
        <v>15.492000000000001</v>
      </c>
      <c r="L210" s="565"/>
      <c r="M210" s="565"/>
      <c r="N210" s="2543"/>
      <c r="O210" s="2544"/>
      <c r="P210" s="2488"/>
      <c r="Q210" s="2512"/>
      <c r="R210" s="2513"/>
      <c r="S210" s="2513"/>
      <c r="T210" s="2513"/>
      <c r="U210" s="2513"/>
      <c r="V210" s="2513"/>
      <c r="W210" s="2514"/>
    </row>
    <row r="211" spans="1:23" ht="39" hidden="1" customHeight="1">
      <c r="A211" s="2599"/>
      <c r="B211" s="2602"/>
      <c r="C211" s="2596"/>
      <c r="D211" s="648" t="s">
        <v>413</v>
      </c>
      <c r="E211" s="563"/>
      <c r="F211" s="553"/>
      <c r="G211" s="563">
        <v>35</v>
      </c>
      <c r="H211" s="513">
        <v>35</v>
      </c>
      <c r="I211" s="513"/>
      <c r="J211" s="515"/>
      <c r="K211" s="737">
        <v>2.1960000000000002</v>
      </c>
      <c r="L211" s="513"/>
      <c r="M211" s="513"/>
      <c r="N211" s="2543"/>
      <c r="O211" s="2544"/>
      <c r="P211" s="2488"/>
      <c r="Q211" s="2512"/>
      <c r="R211" s="2513"/>
      <c r="S211" s="2513"/>
      <c r="T211" s="2513"/>
      <c r="U211" s="2513"/>
      <c r="V211" s="2513"/>
      <c r="W211" s="2514"/>
    </row>
    <row r="212" spans="1:23" ht="39" hidden="1" customHeight="1">
      <c r="A212" s="2600"/>
      <c r="B212" s="2603"/>
      <c r="C212" s="2597"/>
      <c r="D212" s="757" t="s">
        <v>3864</v>
      </c>
      <c r="E212" s="758"/>
      <c r="F212" s="755"/>
      <c r="G212" s="758"/>
      <c r="H212" s="753"/>
      <c r="I212" s="753"/>
      <c r="J212" s="754"/>
      <c r="K212" s="753">
        <f>SUM(K209,K210,K211,)</f>
        <v>25.688000000000002</v>
      </c>
      <c r="L212" s="753"/>
      <c r="M212" s="753"/>
      <c r="N212" s="2543"/>
      <c r="O212" s="2544"/>
      <c r="P212" s="2488"/>
      <c r="Q212" s="2512"/>
      <c r="R212" s="2513"/>
      <c r="S212" s="2513"/>
      <c r="T212" s="2513"/>
      <c r="U212" s="2513"/>
      <c r="V212" s="2513"/>
      <c r="W212" s="2514"/>
    </row>
    <row r="213" spans="1:23" ht="39" hidden="1" customHeight="1">
      <c r="A213" s="2584"/>
      <c r="B213" s="2539" t="s">
        <v>2662</v>
      </c>
      <c r="C213" s="2607"/>
      <c r="D213" s="648" t="s">
        <v>471</v>
      </c>
      <c r="E213" s="515"/>
      <c r="F213" s="553"/>
      <c r="G213" s="513">
        <v>19.911999999999999</v>
      </c>
      <c r="H213" s="513">
        <v>0</v>
      </c>
      <c r="I213" s="513"/>
      <c r="J213" s="515"/>
      <c r="K213" s="515"/>
      <c r="L213" s="515"/>
      <c r="M213" s="515"/>
      <c r="N213" s="2543"/>
      <c r="O213" s="2544"/>
      <c r="P213" s="2488"/>
      <c r="Q213" s="2512"/>
      <c r="R213" s="2513"/>
      <c r="S213" s="2513"/>
      <c r="T213" s="2513"/>
      <c r="U213" s="2513"/>
      <c r="V213" s="2513"/>
      <c r="W213" s="2514"/>
    </row>
    <row r="214" spans="1:23" ht="39" hidden="1" customHeight="1">
      <c r="A214" s="2584"/>
      <c r="B214" s="2539"/>
      <c r="C214" s="2608"/>
      <c r="D214" s="648" t="s">
        <v>2661</v>
      </c>
      <c r="E214" s="564"/>
      <c r="F214" s="649"/>
      <c r="G214" s="563">
        <v>56.88</v>
      </c>
      <c r="H214" s="563">
        <v>6.66</v>
      </c>
      <c r="I214" s="563"/>
      <c r="J214" s="564"/>
      <c r="K214" s="564"/>
      <c r="L214" s="564"/>
      <c r="M214" s="515"/>
      <c r="N214" s="2543"/>
      <c r="O214" s="2544"/>
      <c r="P214" s="2488"/>
      <c r="Q214" s="2512"/>
      <c r="R214" s="2513"/>
      <c r="S214" s="2513"/>
      <c r="T214" s="2513"/>
      <c r="U214" s="2513"/>
      <c r="V214" s="2513"/>
      <c r="W214" s="2514"/>
    </row>
    <row r="215" spans="1:23" ht="39" hidden="1" customHeight="1">
      <c r="A215" s="2604" t="s">
        <v>3518</v>
      </c>
      <c r="B215" s="2601" t="s">
        <v>3865</v>
      </c>
      <c r="C215" s="2592"/>
      <c r="D215" s="512" t="s">
        <v>2928</v>
      </c>
      <c r="E215" s="515"/>
      <c r="F215" s="553"/>
      <c r="G215" s="513">
        <v>35.17</v>
      </c>
      <c r="H215" s="513">
        <v>35.17</v>
      </c>
      <c r="I215" s="513"/>
      <c r="J215" s="515">
        <v>5.4770000000000003</v>
      </c>
      <c r="K215" s="513">
        <v>5.4770000000000003</v>
      </c>
      <c r="L215" s="515"/>
      <c r="M215" s="515"/>
      <c r="N215" s="2543"/>
      <c r="O215" s="2544"/>
      <c r="P215" s="2488"/>
      <c r="Q215" s="2512"/>
      <c r="R215" s="2513"/>
      <c r="S215" s="2513"/>
      <c r="T215" s="2513"/>
      <c r="U215" s="2513"/>
      <c r="V215" s="2513"/>
      <c r="W215" s="2514"/>
    </row>
    <row r="216" spans="1:23" ht="39" hidden="1" customHeight="1">
      <c r="A216" s="2605"/>
      <c r="B216" s="2602"/>
      <c r="C216" s="2593"/>
      <c r="D216" s="512" t="s">
        <v>246</v>
      </c>
      <c r="E216" s="515"/>
      <c r="F216" s="553"/>
      <c r="G216" s="513">
        <v>20.405999999999999</v>
      </c>
      <c r="H216" s="513">
        <v>242</v>
      </c>
      <c r="I216" s="513"/>
      <c r="J216" s="515">
        <v>61.6</v>
      </c>
      <c r="K216" s="513">
        <v>61.6</v>
      </c>
      <c r="L216" s="515"/>
      <c r="M216" s="515"/>
      <c r="N216" s="2543"/>
      <c r="O216" s="2544"/>
      <c r="P216" s="2488"/>
      <c r="Q216" s="2512"/>
      <c r="R216" s="2513"/>
      <c r="S216" s="2513"/>
      <c r="T216" s="2513"/>
      <c r="U216" s="2513"/>
      <c r="V216" s="2513"/>
      <c r="W216" s="2514"/>
    </row>
    <row r="217" spans="1:23" ht="39" hidden="1" customHeight="1">
      <c r="A217" s="2605"/>
      <c r="B217" s="2602"/>
      <c r="C217" s="2593"/>
      <c r="D217" s="512" t="s">
        <v>413</v>
      </c>
      <c r="E217" s="515"/>
      <c r="F217" s="553"/>
      <c r="G217" s="513">
        <v>3</v>
      </c>
      <c r="H217" s="513">
        <v>3</v>
      </c>
      <c r="I217" s="513"/>
      <c r="J217" s="515">
        <v>1.54</v>
      </c>
      <c r="K217" s="831">
        <v>1.54</v>
      </c>
      <c r="L217" s="515"/>
      <c r="M217" s="515"/>
      <c r="N217" s="2543"/>
      <c r="O217" s="2544"/>
      <c r="P217" s="2488"/>
      <c r="Q217" s="2512"/>
      <c r="R217" s="2513"/>
      <c r="S217" s="2513"/>
      <c r="T217" s="2513"/>
      <c r="U217" s="2513"/>
      <c r="V217" s="2513"/>
      <c r="W217" s="2514"/>
    </row>
    <row r="218" spans="1:23" ht="39" hidden="1" customHeight="1">
      <c r="A218" s="2606"/>
      <c r="B218" s="965"/>
      <c r="C218" s="2594"/>
      <c r="D218" s="757" t="s">
        <v>3864</v>
      </c>
      <c r="E218" s="758"/>
      <c r="F218" s="755"/>
      <c r="G218" s="758"/>
      <c r="H218" s="753"/>
      <c r="I218" s="753"/>
      <c r="J218" s="754"/>
      <c r="K218" s="753">
        <f>SUM(K215,K216,K217,)</f>
        <v>68.617000000000004</v>
      </c>
      <c r="L218" s="753"/>
      <c r="M218" s="753"/>
      <c r="N218" s="2543"/>
      <c r="O218" s="2544"/>
      <c r="P218" s="2488"/>
      <c r="Q218" s="2512"/>
      <c r="R218" s="2513"/>
      <c r="S218" s="2513"/>
      <c r="T218" s="2513"/>
      <c r="U218" s="2513"/>
      <c r="V218" s="2513"/>
      <c r="W218" s="2514"/>
    </row>
    <row r="219" spans="1:23" ht="39" hidden="1" customHeight="1">
      <c r="A219" s="2604" t="s">
        <v>3517</v>
      </c>
      <c r="B219" s="2601" t="s">
        <v>3516</v>
      </c>
      <c r="C219" s="2592"/>
      <c r="D219" s="512" t="s">
        <v>2928</v>
      </c>
      <c r="E219" s="515"/>
      <c r="F219" s="553"/>
      <c r="G219" s="513"/>
      <c r="H219" s="513"/>
      <c r="I219" s="513"/>
      <c r="J219" s="515">
        <v>0</v>
      </c>
      <c r="K219" s="513"/>
      <c r="L219" s="515"/>
      <c r="M219" s="515"/>
      <c r="N219" s="2543"/>
      <c r="O219" s="2544"/>
      <c r="P219" s="2488"/>
      <c r="Q219" s="2512"/>
      <c r="R219" s="2513"/>
      <c r="S219" s="2513"/>
      <c r="T219" s="2513"/>
      <c r="U219" s="2513"/>
      <c r="V219" s="2513"/>
      <c r="W219" s="2514"/>
    </row>
    <row r="220" spans="1:23" ht="39" hidden="1" customHeight="1">
      <c r="A220" s="2606"/>
      <c r="B220" s="2603"/>
      <c r="C220" s="2594"/>
      <c r="D220" s="752" t="s">
        <v>3864</v>
      </c>
      <c r="E220" s="758"/>
      <c r="F220" s="755"/>
      <c r="G220" s="758"/>
      <c r="H220" s="753"/>
      <c r="I220" s="753"/>
      <c r="J220" s="754"/>
      <c r="K220" s="753"/>
      <c r="L220" s="753"/>
      <c r="M220" s="753"/>
      <c r="N220" s="2545"/>
      <c r="O220" s="2546"/>
      <c r="P220" s="2488"/>
      <c r="Q220" s="2515"/>
      <c r="R220" s="2516"/>
      <c r="S220" s="2516"/>
      <c r="T220" s="2516"/>
      <c r="U220" s="2516"/>
      <c r="V220" s="2516"/>
      <c r="W220" s="2517"/>
    </row>
    <row r="221" spans="1:23" ht="39" hidden="1" customHeight="1">
      <c r="A221" s="2604"/>
      <c r="B221" s="2601" t="s">
        <v>2662</v>
      </c>
      <c r="C221" s="2592"/>
      <c r="D221" s="512" t="s">
        <v>2661</v>
      </c>
      <c r="E221" s="515"/>
      <c r="F221" s="553"/>
      <c r="G221" s="513"/>
      <c r="H221" s="513">
        <v>6.66</v>
      </c>
      <c r="I221" s="513"/>
      <c r="J221" s="515"/>
      <c r="K221" s="513"/>
      <c r="L221" s="515"/>
      <c r="M221" s="515"/>
      <c r="N221" s="2646"/>
      <c r="O221" s="2645"/>
      <c r="P221" s="2488"/>
      <c r="Q221" s="759"/>
      <c r="R221" s="2510"/>
      <c r="S221" s="2510"/>
      <c r="T221" s="2510"/>
      <c r="U221" s="2510"/>
      <c r="V221" s="2510"/>
      <c r="W221" s="2511"/>
    </row>
    <row r="222" spans="1:23" ht="39" hidden="1" customHeight="1">
      <c r="A222" s="2606"/>
      <c r="B222" s="2603"/>
      <c r="C222" s="2594"/>
      <c r="D222" s="752" t="s">
        <v>3864</v>
      </c>
      <c r="E222" s="758"/>
      <c r="F222" s="755"/>
      <c r="G222" s="758"/>
      <c r="H222" s="753"/>
      <c r="I222" s="753"/>
      <c r="J222" s="754"/>
      <c r="K222" s="753"/>
      <c r="L222" s="753"/>
      <c r="M222" s="753"/>
      <c r="N222" s="2647"/>
      <c r="O222" s="2645"/>
      <c r="P222" s="2488"/>
      <c r="Q222" s="759"/>
      <c r="R222" s="2516"/>
      <c r="S222" s="2516"/>
      <c r="T222" s="2516"/>
      <c r="U222" s="2516"/>
      <c r="V222" s="2516"/>
      <c r="W222" s="2517"/>
    </row>
    <row r="223" spans="1:23" ht="39" customHeight="1">
      <c r="A223" s="2576" t="s">
        <v>2045</v>
      </c>
      <c r="B223" s="2366" t="s">
        <v>1133</v>
      </c>
      <c r="C223" s="2577" t="s">
        <v>1080</v>
      </c>
      <c r="D223" s="942" t="s">
        <v>471</v>
      </c>
      <c r="E223" s="222">
        <v>218</v>
      </c>
      <c r="F223" s="336">
        <f>H223/E223-1</f>
        <v>5.7903669724770639</v>
      </c>
      <c r="G223" s="222"/>
      <c r="H223" s="222">
        <f>SUM(H228,H233,H237)</f>
        <v>1480.3</v>
      </c>
      <c r="I223" s="509">
        <f>K223/H223-1</f>
        <v>-0.74241707761940146</v>
      </c>
      <c r="J223" s="272"/>
      <c r="K223" s="222">
        <f>SUM(K228,K233,K237,K239)</f>
        <v>381.3</v>
      </c>
      <c r="L223" s="222">
        <f t="shared" ref="L223:M223" si="84">SUM(L228,L233,L237,L239)</f>
        <v>359.43000000000006</v>
      </c>
      <c r="M223" s="222">
        <f t="shared" si="84"/>
        <v>373.11</v>
      </c>
      <c r="N223" s="2491" t="s">
        <v>866</v>
      </c>
      <c r="O223" s="2350" t="s">
        <v>3030</v>
      </c>
      <c r="P223" s="2488"/>
      <c r="Q223" s="2475" t="s">
        <v>1657</v>
      </c>
      <c r="R223" s="284" t="s">
        <v>2471</v>
      </c>
      <c r="S223" s="284" t="s">
        <v>308</v>
      </c>
      <c r="T223" s="284" t="s">
        <v>308</v>
      </c>
      <c r="U223" s="284" t="s">
        <v>308</v>
      </c>
      <c r="V223" s="284" t="s">
        <v>308</v>
      </c>
      <c r="W223" s="2477" t="s">
        <v>3044</v>
      </c>
    </row>
    <row r="224" spans="1:23" ht="39" customHeight="1">
      <c r="A224" s="2576"/>
      <c r="B224" s="2366"/>
      <c r="C224" s="2577"/>
      <c r="D224" s="943" t="s">
        <v>1122</v>
      </c>
      <c r="E224" s="225">
        <f>83.94+24.26</f>
        <v>108.2</v>
      </c>
      <c r="F224" s="318">
        <f>H224/E224-1</f>
        <v>2.7726432532347411E-2</v>
      </c>
      <c r="G224" s="298"/>
      <c r="H224" s="225">
        <f>H234+H236</f>
        <v>111.2</v>
      </c>
      <c r="I224" s="510">
        <f t="shared" ref="I224:I227" si="85">K224/H224-1</f>
        <v>1.8239208633093522</v>
      </c>
      <c r="J224" s="230"/>
      <c r="K224" s="225">
        <f>K234+K231</f>
        <v>314.02</v>
      </c>
      <c r="L224" s="225">
        <f t="shared" ref="L224:M224" si="86">L234+L231</f>
        <v>329.18299999999999</v>
      </c>
      <c r="M224" s="225">
        <f t="shared" si="86"/>
        <v>329.18299999999999</v>
      </c>
      <c r="N224" s="2491"/>
      <c r="O224" s="2396"/>
      <c r="P224" s="2488"/>
      <c r="Q224" s="2475"/>
      <c r="R224" s="2477" t="s">
        <v>3029</v>
      </c>
      <c r="S224" s="2477" t="s">
        <v>3031</v>
      </c>
      <c r="T224" s="2477" t="s">
        <v>4196</v>
      </c>
      <c r="U224" s="2477" t="s">
        <v>4196</v>
      </c>
      <c r="V224" s="2477" t="s">
        <v>4196</v>
      </c>
      <c r="W224" s="2478"/>
    </row>
    <row r="225" spans="1:23" ht="39" customHeight="1">
      <c r="A225" s="2576"/>
      <c r="B225" s="2366"/>
      <c r="C225" s="2577"/>
      <c r="D225" s="644" t="s">
        <v>1389</v>
      </c>
      <c r="E225" s="225"/>
      <c r="F225" s="318"/>
      <c r="G225" s="298"/>
      <c r="H225" s="225"/>
      <c r="I225" s="510"/>
      <c r="J225" s="230"/>
      <c r="K225" s="225">
        <f>K230</f>
        <v>158.19999999999999</v>
      </c>
      <c r="L225" s="225">
        <f t="shared" ref="L225:M225" si="87">L230</f>
        <v>171</v>
      </c>
      <c r="M225" s="225">
        <f t="shared" si="87"/>
        <v>184.6</v>
      </c>
      <c r="N225" s="2491"/>
      <c r="O225" s="2396"/>
      <c r="P225" s="2488"/>
      <c r="Q225" s="2475"/>
      <c r="R225" s="2478"/>
      <c r="S225" s="2478"/>
      <c r="T225" s="2478"/>
      <c r="U225" s="2478"/>
      <c r="V225" s="2478"/>
      <c r="W225" s="2478"/>
    </row>
    <row r="226" spans="1:23" ht="39" customHeight="1">
      <c r="A226" s="2576"/>
      <c r="B226" s="2366"/>
      <c r="C226" s="2577"/>
      <c r="D226" s="644" t="s">
        <v>1834</v>
      </c>
      <c r="E226" s="225"/>
      <c r="F226" s="318"/>
      <c r="G226" s="298"/>
      <c r="H226" s="225"/>
      <c r="I226" s="510"/>
      <c r="J226" s="230"/>
      <c r="K226" s="225">
        <f>K229</f>
        <v>20.45</v>
      </c>
      <c r="L226" s="225">
        <f t="shared" ref="L226:M226" si="88">L229</f>
        <v>22.13</v>
      </c>
      <c r="M226" s="225">
        <f t="shared" si="88"/>
        <v>23.95</v>
      </c>
      <c r="N226" s="2491"/>
      <c r="O226" s="2396"/>
      <c r="P226" s="2488"/>
      <c r="Q226" s="2475"/>
      <c r="R226" s="2478"/>
      <c r="S226" s="2478"/>
      <c r="T226" s="2478"/>
      <c r="U226" s="2478"/>
      <c r="V226" s="2478"/>
      <c r="W226" s="2478"/>
    </row>
    <row r="227" spans="1:23" ht="39" customHeight="1">
      <c r="A227" s="2576"/>
      <c r="B227" s="2366"/>
      <c r="C227" s="2577"/>
      <c r="D227" s="944" t="s">
        <v>1121</v>
      </c>
      <c r="E227" s="224">
        <f>SUM(E223:E224)</f>
        <v>326.2</v>
      </c>
      <c r="F227" s="321">
        <f>H227/E227-1</f>
        <v>3.8789086450030661</v>
      </c>
      <c r="G227" s="224">
        <f t="shared" ref="G227" si="89">SUM(G223:G224)</f>
        <v>0</v>
      </c>
      <c r="H227" s="224">
        <f>SUM(H223:H224)</f>
        <v>1591.5</v>
      </c>
      <c r="I227" s="526">
        <f t="shared" si="85"/>
        <v>-0.45085139805215202</v>
      </c>
      <c r="J227" s="273"/>
      <c r="K227" s="224">
        <f>SUM(K223:K224,K225,K226)</f>
        <v>873.97</v>
      </c>
      <c r="L227" s="224">
        <f t="shared" ref="L227:M227" si="90">SUM(L223:L224,L225,L226)</f>
        <v>881.74300000000005</v>
      </c>
      <c r="M227" s="224">
        <f t="shared" si="90"/>
        <v>910.84300000000007</v>
      </c>
      <c r="N227" s="2492"/>
      <c r="O227" s="2396"/>
      <c r="P227" s="2488"/>
      <c r="Q227" s="2475"/>
      <c r="R227" s="2479"/>
      <c r="S227" s="2479"/>
      <c r="T227" s="2479"/>
      <c r="U227" s="2479"/>
      <c r="V227" s="2479"/>
      <c r="W227" s="2479"/>
    </row>
    <row r="228" spans="1:23" ht="39" hidden="1" customHeight="1">
      <c r="A228" s="2586" t="s">
        <v>3962</v>
      </c>
      <c r="B228" s="2496" t="s">
        <v>2704</v>
      </c>
      <c r="C228" s="2588"/>
      <c r="D228" s="512" t="s">
        <v>471</v>
      </c>
      <c r="E228" s="513"/>
      <c r="F228" s="553"/>
      <c r="G228" s="513"/>
      <c r="H228" s="513">
        <f>1247+11.3</f>
        <v>1258.3</v>
      </c>
      <c r="I228" s="513"/>
      <c r="J228" s="515">
        <v>1215.5219999999999</v>
      </c>
      <c r="K228" s="884">
        <v>28</v>
      </c>
      <c r="L228" s="885">
        <v>28.23</v>
      </c>
      <c r="M228" s="886">
        <v>28.61</v>
      </c>
      <c r="N228" s="935"/>
      <c r="O228" s="233" t="s">
        <v>3861</v>
      </c>
      <c r="P228" s="2488"/>
      <c r="Q228" s="289"/>
      <c r="R228" s="289" t="s">
        <v>3574</v>
      </c>
      <c r="S228" s="289"/>
      <c r="T228" s="289" t="s">
        <v>3575</v>
      </c>
      <c r="U228" s="289"/>
      <c r="V228" s="453"/>
      <c r="W228" s="339"/>
    </row>
    <row r="229" spans="1:23" ht="39" hidden="1" customHeight="1">
      <c r="A229" s="2586"/>
      <c r="B229" s="2496"/>
      <c r="C229" s="2588"/>
      <c r="D229" s="512" t="s">
        <v>1834</v>
      </c>
      <c r="E229" s="513"/>
      <c r="F229" s="553"/>
      <c r="G229" s="513"/>
      <c r="H229" s="513"/>
      <c r="I229" s="513"/>
      <c r="J229" s="515">
        <v>19.34</v>
      </c>
      <c r="K229" s="513">
        <v>20.45</v>
      </c>
      <c r="L229" s="513">
        <v>22.13</v>
      </c>
      <c r="M229" s="513">
        <v>23.95</v>
      </c>
      <c r="N229" s="935"/>
      <c r="O229" s="233"/>
      <c r="P229" s="2488"/>
      <c r="Q229" s="289"/>
      <c r="R229" s="289"/>
      <c r="S229" s="289"/>
      <c r="T229" s="289"/>
      <c r="U229" s="289"/>
      <c r="V229" s="453"/>
      <c r="W229" s="339"/>
    </row>
    <row r="230" spans="1:23" ht="39" hidden="1" customHeight="1">
      <c r="A230" s="2586"/>
      <c r="B230" s="2496"/>
      <c r="C230" s="2588"/>
      <c r="D230" s="512" t="s">
        <v>1389</v>
      </c>
      <c r="E230" s="513"/>
      <c r="F230" s="553"/>
      <c r="G230" s="513"/>
      <c r="H230" s="513"/>
      <c r="I230" s="513"/>
      <c r="J230" s="515">
        <v>107.25</v>
      </c>
      <c r="K230" s="513">
        <v>158.19999999999999</v>
      </c>
      <c r="L230" s="513">
        <v>171</v>
      </c>
      <c r="M230" s="513">
        <v>184.6</v>
      </c>
      <c r="N230" s="935"/>
      <c r="O230" s="233"/>
      <c r="P230" s="2488"/>
      <c r="Q230" s="289"/>
      <c r="R230" s="289"/>
      <c r="S230" s="289"/>
      <c r="T230" s="289"/>
      <c r="U230" s="289"/>
      <c r="V230" s="453"/>
      <c r="W230" s="339"/>
    </row>
    <row r="231" spans="1:23" ht="39" hidden="1" customHeight="1">
      <c r="A231" s="2586"/>
      <c r="B231" s="2496"/>
      <c r="C231" s="2588"/>
      <c r="D231" s="512" t="s">
        <v>1122</v>
      </c>
      <c r="E231" s="513"/>
      <c r="F231" s="553"/>
      <c r="G231" s="513"/>
      <c r="H231" s="513"/>
      <c r="I231" s="513"/>
      <c r="J231" s="515"/>
      <c r="K231" s="513">
        <v>228.5</v>
      </c>
      <c r="L231" s="545">
        <v>241.13</v>
      </c>
      <c r="M231" s="560">
        <f>L231</f>
        <v>241.13</v>
      </c>
      <c r="N231" s="935"/>
      <c r="O231" s="233"/>
      <c r="P231" s="2488"/>
      <c r="Q231" s="289"/>
      <c r="R231" s="289"/>
      <c r="S231" s="289"/>
      <c r="T231" s="289"/>
      <c r="U231" s="289"/>
      <c r="V231" s="453"/>
      <c r="W231" s="339"/>
    </row>
    <row r="232" spans="1:23" ht="39" hidden="1" customHeight="1">
      <c r="A232" s="2587"/>
      <c r="B232" s="2497"/>
      <c r="C232" s="2589"/>
      <c r="D232" s="752" t="s">
        <v>2818</v>
      </c>
      <c r="E232" s="753"/>
      <c r="F232" s="755"/>
      <c r="G232" s="753"/>
      <c r="H232" s="753">
        <f>SUM(H228,H229,H230,H231,)</f>
        <v>1258.3</v>
      </c>
      <c r="I232" s="753">
        <f t="shared" ref="I232:M232" si="91">SUM(I228,I229,I230,I231,)</f>
        <v>0</v>
      </c>
      <c r="J232" s="754">
        <f t="shared" si="91"/>
        <v>1342.1119999999999</v>
      </c>
      <c r="K232" s="753">
        <f t="shared" si="91"/>
        <v>435.15</v>
      </c>
      <c r="L232" s="753">
        <f t="shared" si="91"/>
        <v>462.49</v>
      </c>
      <c r="M232" s="753">
        <f t="shared" si="91"/>
        <v>478.28999999999996</v>
      </c>
      <c r="N232" s="1331"/>
      <c r="O232" s="233"/>
      <c r="P232" s="2488"/>
      <c r="Q232" s="289"/>
      <c r="R232" s="289"/>
      <c r="S232" s="289"/>
      <c r="T232" s="289"/>
      <c r="U232" s="289"/>
      <c r="V232" s="453"/>
      <c r="W232" s="339"/>
    </row>
    <row r="233" spans="1:23" ht="39" hidden="1" customHeight="1">
      <c r="A233" s="2590" t="s">
        <v>3961</v>
      </c>
      <c r="B233" s="2495" t="s">
        <v>2703</v>
      </c>
      <c r="C233" s="2591"/>
      <c r="D233" s="512" t="s">
        <v>471</v>
      </c>
      <c r="E233" s="513"/>
      <c r="F233" s="553"/>
      <c r="G233" s="513"/>
      <c r="H233" s="513">
        <v>1.6</v>
      </c>
      <c r="I233" s="513"/>
      <c r="J233" s="515">
        <v>114</v>
      </c>
      <c r="K233" s="513">
        <f>29+6</f>
        <v>35</v>
      </c>
      <c r="L233" s="545"/>
      <c r="M233" s="560"/>
      <c r="N233" s="935"/>
      <c r="O233" s="529" t="s">
        <v>3862</v>
      </c>
      <c r="P233" s="2488"/>
      <c r="Q233" s="289"/>
      <c r="R233" s="289"/>
      <c r="S233" s="289"/>
      <c r="T233" s="289"/>
      <c r="U233" s="289"/>
      <c r="V233" s="453"/>
      <c r="W233" s="339"/>
    </row>
    <row r="234" spans="1:23" ht="39" hidden="1" customHeight="1">
      <c r="A234" s="2586"/>
      <c r="B234" s="2496"/>
      <c r="C234" s="2588"/>
      <c r="D234" s="512" t="s">
        <v>1122</v>
      </c>
      <c r="E234" s="513"/>
      <c r="F234" s="553"/>
      <c r="G234" s="513"/>
      <c r="H234" s="513">
        <f>111.2-46.69</f>
        <v>64.510000000000005</v>
      </c>
      <c r="I234" s="513"/>
      <c r="J234" s="515">
        <v>150</v>
      </c>
      <c r="K234" s="513">
        <v>85.52</v>
      </c>
      <c r="L234" s="513">
        <v>88.052999999999997</v>
      </c>
      <c r="M234" s="623">
        <v>88.052999999999997</v>
      </c>
      <c r="N234" s="935"/>
      <c r="O234" s="233"/>
      <c r="P234" s="2488"/>
      <c r="Q234" s="289"/>
      <c r="R234" s="289"/>
      <c r="S234" s="289"/>
      <c r="T234" s="289"/>
      <c r="U234" s="289"/>
      <c r="V234" s="453"/>
      <c r="W234" s="339"/>
    </row>
    <row r="235" spans="1:23" ht="39" hidden="1" customHeight="1">
      <c r="A235" s="2587"/>
      <c r="B235" s="2497"/>
      <c r="C235" s="2589"/>
      <c r="D235" s="752" t="s">
        <v>2818</v>
      </c>
      <c r="E235" s="753"/>
      <c r="F235" s="755"/>
      <c r="G235" s="753"/>
      <c r="H235" s="753">
        <f>SUM(H233,H234)</f>
        <v>66.11</v>
      </c>
      <c r="I235" s="753">
        <f t="shared" ref="I235:M235" si="92">SUM(I233,I234)</f>
        <v>0</v>
      </c>
      <c r="J235" s="754">
        <f t="shared" si="92"/>
        <v>264</v>
      </c>
      <c r="K235" s="753">
        <f t="shared" si="92"/>
        <v>120.52</v>
      </c>
      <c r="L235" s="753">
        <f t="shared" si="92"/>
        <v>88.052999999999997</v>
      </c>
      <c r="M235" s="753">
        <f t="shared" si="92"/>
        <v>88.052999999999997</v>
      </c>
      <c r="N235" s="1331"/>
      <c r="O235" s="233"/>
      <c r="P235" s="2488"/>
      <c r="Q235" s="289"/>
      <c r="R235" s="289"/>
      <c r="S235" s="289"/>
      <c r="T235" s="289"/>
      <c r="U235" s="289"/>
      <c r="V235" s="453"/>
      <c r="W235" s="339"/>
    </row>
    <row r="236" spans="1:23" ht="39" hidden="1" customHeight="1">
      <c r="A236" s="555"/>
      <c r="B236" s="966" t="s">
        <v>2704</v>
      </c>
      <c r="C236" s="338"/>
      <c r="D236" s="512" t="s">
        <v>1122</v>
      </c>
      <c r="E236" s="513"/>
      <c r="F236" s="553"/>
      <c r="G236" s="513"/>
      <c r="H236" s="513">
        <f>46.69</f>
        <v>46.69</v>
      </c>
      <c r="I236" s="513"/>
      <c r="J236" s="515"/>
      <c r="K236" s="513"/>
      <c r="L236" s="545"/>
      <c r="M236" s="560"/>
      <c r="N236" s="935"/>
      <c r="O236" s="233"/>
      <c r="P236" s="2488"/>
      <c r="Q236" s="289"/>
      <c r="R236" s="289"/>
      <c r="S236" s="289"/>
      <c r="T236" s="289"/>
      <c r="U236" s="289"/>
      <c r="V236" s="453"/>
      <c r="W236" s="339"/>
    </row>
    <row r="237" spans="1:23" ht="39" hidden="1" customHeight="1">
      <c r="A237" s="2590" t="s">
        <v>3961</v>
      </c>
      <c r="B237" s="2495" t="s">
        <v>2708</v>
      </c>
      <c r="C237" s="2591"/>
      <c r="D237" s="512" t="s">
        <v>471</v>
      </c>
      <c r="E237" s="513"/>
      <c r="F237" s="553"/>
      <c r="G237" s="513">
        <v>350</v>
      </c>
      <c r="H237" s="513">
        <v>220.4</v>
      </c>
      <c r="I237" s="513"/>
      <c r="J237" s="515">
        <v>370</v>
      </c>
      <c r="K237" s="513">
        <v>253</v>
      </c>
      <c r="L237" s="545">
        <v>265.60000000000002</v>
      </c>
      <c r="M237" s="560">
        <v>278.89999999999998</v>
      </c>
      <c r="N237" s="935"/>
      <c r="O237" s="233"/>
      <c r="P237" s="2488"/>
      <c r="Q237" s="289"/>
      <c r="R237" s="289" t="s">
        <v>4139</v>
      </c>
      <c r="S237" s="289"/>
      <c r="T237" s="289"/>
      <c r="U237" s="289"/>
      <c r="V237" s="453"/>
      <c r="W237" s="339"/>
    </row>
    <row r="238" spans="1:23" ht="39" hidden="1" customHeight="1">
      <c r="A238" s="2587"/>
      <c r="B238" s="2497"/>
      <c r="C238" s="2589"/>
      <c r="D238" s="752" t="s">
        <v>2818</v>
      </c>
      <c r="E238" s="753"/>
      <c r="F238" s="755"/>
      <c r="G238" s="753"/>
      <c r="H238" s="753">
        <f>H237</f>
        <v>220.4</v>
      </c>
      <c r="I238" s="753">
        <f t="shared" ref="I238:M238" si="93">I237</f>
        <v>0</v>
      </c>
      <c r="J238" s="754">
        <f t="shared" si="93"/>
        <v>370</v>
      </c>
      <c r="K238" s="753">
        <f t="shared" si="93"/>
        <v>253</v>
      </c>
      <c r="L238" s="753">
        <f t="shared" si="93"/>
        <v>265.60000000000002</v>
      </c>
      <c r="M238" s="753">
        <f t="shared" si="93"/>
        <v>278.89999999999998</v>
      </c>
      <c r="N238" s="1331"/>
      <c r="O238" s="233"/>
      <c r="P238" s="2488"/>
      <c r="Q238" s="289"/>
      <c r="R238" s="289"/>
      <c r="S238" s="289"/>
      <c r="T238" s="289"/>
      <c r="U238" s="289"/>
      <c r="V238" s="453"/>
      <c r="W238" s="339"/>
    </row>
    <row r="239" spans="1:23" ht="39" hidden="1" customHeight="1">
      <c r="A239" s="2590" t="s">
        <v>3961</v>
      </c>
      <c r="B239" s="2495" t="s">
        <v>1127</v>
      </c>
      <c r="C239" s="2591"/>
      <c r="D239" s="512" t="s">
        <v>471</v>
      </c>
      <c r="E239" s="513"/>
      <c r="F239" s="553"/>
      <c r="G239" s="513">
        <v>350</v>
      </c>
      <c r="H239" s="513"/>
      <c r="I239" s="513"/>
      <c r="J239" s="515">
        <v>72.233999999999995</v>
      </c>
      <c r="K239" s="513">
        <v>65.3</v>
      </c>
      <c r="L239" s="545">
        <v>65.599999999999994</v>
      </c>
      <c r="M239" s="560">
        <v>65.599999999999994</v>
      </c>
      <c r="N239" s="935"/>
      <c r="O239" s="233" t="s">
        <v>3863</v>
      </c>
      <c r="P239" s="2488"/>
      <c r="Q239" s="289"/>
      <c r="R239" s="289"/>
      <c r="S239" s="289"/>
      <c r="T239" s="289"/>
      <c r="U239" s="289"/>
      <c r="V239" s="453"/>
      <c r="W239" s="339"/>
    </row>
    <row r="240" spans="1:23" ht="39" hidden="1" customHeight="1">
      <c r="A240" s="2587"/>
      <c r="B240" s="2497"/>
      <c r="C240" s="2589"/>
      <c r="D240" s="752" t="s">
        <v>2818</v>
      </c>
      <c r="E240" s="753"/>
      <c r="F240" s="755"/>
      <c r="G240" s="753"/>
      <c r="H240" s="753">
        <v>0</v>
      </c>
      <c r="I240" s="753">
        <f t="shared" ref="I240:M240" si="94">I239</f>
        <v>0</v>
      </c>
      <c r="J240" s="754">
        <f t="shared" si="94"/>
        <v>72.233999999999995</v>
      </c>
      <c r="K240" s="753">
        <f t="shared" si="94"/>
        <v>65.3</v>
      </c>
      <c r="L240" s="753">
        <f t="shared" si="94"/>
        <v>65.599999999999994</v>
      </c>
      <c r="M240" s="753">
        <f t="shared" si="94"/>
        <v>65.599999999999994</v>
      </c>
      <c r="N240" s="1331"/>
      <c r="O240" s="233"/>
      <c r="P240" s="2488"/>
      <c r="Q240" s="289"/>
      <c r="R240" s="289"/>
      <c r="S240" s="289"/>
      <c r="T240" s="289"/>
      <c r="U240" s="289"/>
      <c r="V240" s="453"/>
      <c r="W240" s="339"/>
    </row>
    <row r="241" spans="1:130" ht="39" customHeight="1">
      <c r="A241" s="2658" t="s">
        <v>2046</v>
      </c>
      <c r="B241" s="2585" t="s">
        <v>3796</v>
      </c>
      <c r="C241" s="2568">
        <v>188711925</v>
      </c>
      <c r="D241" s="299" t="s">
        <v>471</v>
      </c>
      <c r="E241" s="225">
        <v>4</v>
      </c>
      <c r="F241" s="318">
        <f>H241/E241-1</f>
        <v>0</v>
      </c>
      <c r="G241" s="225">
        <v>5</v>
      </c>
      <c r="H241" s="222">
        <v>4</v>
      </c>
      <c r="I241" s="509">
        <f t="shared" ref="I241:I250" si="95">K241/H241-1</f>
        <v>9</v>
      </c>
      <c r="J241" s="272">
        <v>40</v>
      </c>
      <c r="K241" s="663">
        <v>40</v>
      </c>
      <c r="L241" s="664">
        <v>40</v>
      </c>
      <c r="M241" s="222">
        <v>40</v>
      </c>
      <c r="N241" s="2491" t="s">
        <v>1860</v>
      </c>
      <c r="O241" s="2612" t="s">
        <v>4253</v>
      </c>
      <c r="P241" s="2488"/>
      <c r="Q241" s="2475" t="s">
        <v>1658</v>
      </c>
      <c r="R241" s="2475" t="s">
        <v>1140</v>
      </c>
      <c r="S241" s="2475" t="s">
        <v>404</v>
      </c>
      <c r="T241" s="2475" t="s">
        <v>1468</v>
      </c>
      <c r="U241" s="2475" t="s">
        <v>3359</v>
      </c>
      <c r="V241" s="2507" t="s">
        <v>3360</v>
      </c>
      <c r="W241" s="2477" t="s">
        <v>858</v>
      </c>
    </row>
    <row r="242" spans="1:130" ht="39" customHeight="1">
      <c r="A242" s="2658"/>
      <c r="B242" s="2585"/>
      <c r="C242" s="2568"/>
      <c r="D242" s="334" t="s">
        <v>1121</v>
      </c>
      <c r="E242" s="224">
        <f>E241</f>
        <v>4</v>
      </c>
      <c r="F242" s="321">
        <f>H242/E242-1</f>
        <v>0</v>
      </c>
      <c r="G242" s="224">
        <f t="shared" ref="G242:K242" si="96">G241</f>
        <v>5</v>
      </c>
      <c r="H242" s="224">
        <f t="shared" ref="H242" si="97">H241</f>
        <v>4</v>
      </c>
      <c r="I242" s="526">
        <f t="shared" si="95"/>
        <v>9</v>
      </c>
      <c r="J242" s="273">
        <f>J241</f>
        <v>40</v>
      </c>
      <c r="K242" s="527">
        <f t="shared" si="96"/>
        <v>40</v>
      </c>
      <c r="L242" s="232">
        <f>L241</f>
        <v>40</v>
      </c>
      <c r="M242" s="224">
        <f>M241</f>
        <v>40</v>
      </c>
      <c r="N242" s="2492"/>
      <c r="O242" s="2613"/>
      <c r="P242" s="2488"/>
      <c r="Q242" s="2475"/>
      <c r="R242" s="2475"/>
      <c r="S242" s="2475"/>
      <c r="T242" s="2475"/>
      <c r="U242" s="2475"/>
      <c r="V242" s="2508"/>
      <c r="W242" s="2479"/>
      <c r="X242" s="340" t="s">
        <v>2782</v>
      </c>
    </row>
    <row r="243" spans="1:130" ht="39" customHeight="1">
      <c r="A243" s="2565" t="s">
        <v>2047</v>
      </c>
      <c r="B243" s="2575" t="s">
        <v>1134</v>
      </c>
      <c r="C243" s="2568">
        <v>188711925</v>
      </c>
      <c r="D243" s="299" t="s">
        <v>471</v>
      </c>
      <c r="E243" s="225">
        <v>7.5</v>
      </c>
      <c r="F243" s="318">
        <f>H243/E243-1</f>
        <v>-1</v>
      </c>
      <c r="G243" s="225">
        <v>5</v>
      </c>
      <c r="H243" s="225">
        <v>0</v>
      </c>
      <c r="I243" s="510"/>
      <c r="J243" s="230"/>
      <c r="K243" s="520">
        <v>0.5</v>
      </c>
      <c r="L243" s="226">
        <v>0.5</v>
      </c>
      <c r="M243" s="225">
        <v>0</v>
      </c>
      <c r="N243" s="2490" t="s">
        <v>2298</v>
      </c>
      <c r="O243" s="2395" t="s">
        <v>3873</v>
      </c>
      <c r="P243" s="2488"/>
      <c r="Q243" s="2475" t="s">
        <v>1659</v>
      </c>
      <c r="R243" s="2342" t="s">
        <v>4254</v>
      </c>
      <c r="S243" s="2475" t="s">
        <v>142</v>
      </c>
      <c r="T243" s="2475" t="s">
        <v>2472</v>
      </c>
      <c r="U243" s="2475" t="s">
        <v>308</v>
      </c>
      <c r="V243" s="2507" t="s">
        <v>434</v>
      </c>
      <c r="W243" s="2475" t="s">
        <v>2299</v>
      </c>
    </row>
    <row r="244" spans="1:130" ht="39" customHeight="1">
      <c r="A244" s="2560"/>
      <c r="B244" s="2580"/>
      <c r="C244" s="2666"/>
      <c r="D244" s="341" t="s">
        <v>1121</v>
      </c>
      <c r="E244" s="227">
        <f>E243</f>
        <v>7.5</v>
      </c>
      <c r="F244" s="321">
        <f>H244/E244-1</f>
        <v>-1</v>
      </c>
      <c r="G244" s="227">
        <f t="shared" ref="G244:M244" si="98">G243</f>
        <v>5</v>
      </c>
      <c r="H244" s="227">
        <f t="shared" ref="H244" si="99">H243</f>
        <v>0</v>
      </c>
      <c r="I244" s="506"/>
      <c r="J244" s="274"/>
      <c r="K244" s="227">
        <f t="shared" si="98"/>
        <v>0.5</v>
      </c>
      <c r="L244" s="342">
        <f t="shared" si="98"/>
        <v>0.5</v>
      </c>
      <c r="M244" s="342">
        <f t="shared" si="98"/>
        <v>0</v>
      </c>
      <c r="N244" s="2492"/>
      <c r="O244" s="2400"/>
      <c r="P244" s="2488"/>
      <c r="Q244" s="2475"/>
      <c r="R244" s="2342"/>
      <c r="S244" s="2475"/>
      <c r="T244" s="2475"/>
      <c r="U244" s="2475"/>
      <c r="V244" s="2508"/>
      <c r="W244" s="2475"/>
    </row>
    <row r="245" spans="1:130" ht="66" customHeight="1">
      <c r="A245" s="228" t="s">
        <v>3047</v>
      </c>
      <c r="B245" s="954" t="s">
        <v>2053</v>
      </c>
      <c r="C245" s="343"/>
      <c r="D245" s="344"/>
      <c r="E245" s="214" t="e">
        <f>SUM(E250,E274,#REF!,E288,E310)</f>
        <v>#REF!</v>
      </c>
      <c r="F245" s="315" t="e">
        <f>H245/E245-1</f>
        <v>#REF!</v>
      </c>
      <c r="G245" s="214" t="e">
        <f>SUM(G250,G274,#REF!,G288,G310)</f>
        <v>#REF!</v>
      </c>
      <c r="H245" s="214">
        <f>SUM(H250,H274,H279,H288,H310,H328,H330,)</f>
        <v>4041.4690000000001</v>
      </c>
      <c r="I245" s="511">
        <f t="shared" si="95"/>
        <v>0.17873080308175093</v>
      </c>
      <c r="J245" s="214">
        <f>SUM(J250,J274,J279,J288,J310,J328,J330,)</f>
        <v>4433.0820000000003</v>
      </c>
      <c r="K245" s="214">
        <f>SUM(K250,K274,K279,K288,K310,K328,K330,)</f>
        <v>4763.804000000001</v>
      </c>
      <c r="L245" s="214">
        <f>SUM(L250,L274,L279,L288,L310,L328,L330,)</f>
        <v>1053.1110000000001</v>
      </c>
      <c r="M245" s="214">
        <f>SUM(M250,M274,M279,M288,M310,M328,M330,)</f>
        <v>108.86799999999999</v>
      </c>
      <c r="N245" s="183" t="s">
        <v>2790</v>
      </c>
      <c r="O245" s="203"/>
      <c r="P245" s="2488"/>
      <c r="Q245" s="184" t="s">
        <v>1660</v>
      </c>
      <c r="R245" s="202" t="s">
        <v>1485</v>
      </c>
      <c r="S245" s="202">
        <v>0</v>
      </c>
      <c r="T245" s="202">
        <v>7</v>
      </c>
      <c r="U245" s="202">
        <v>7</v>
      </c>
      <c r="V245" s="202">
        <v>2</v>
      </c>
      <c r="W245" s="229" t="s">
        <v>1485</v>
      </c>
    </row>
    <row r="246" spans="1:130" ht="39" customHeight="1">
      <c r="A246" s="2562" t="s">
        <v>2743</v>
      </c>
      <c r="B246" s="2574" t="s">
        <v>3024</v>
      </c>
      <c r="C246" s="2571" t="s">
        <v>3275</v>
      </c>
      <c r="D246" s="345" t="s">
        <v>246</v>
      </c>
      <c r="E246" s="222"/>
      <c r="F246" s="318"/>
      <c r="G246" s="222">
        <v>890.596</v>
      </c>
      <c r="H246" s="225">
        <v>890.596</v>
      </c>
      <c r="I246" s="510">
        <f t="shared" si="95"/>
        <v>0.10065843547467068</v>
      </c>
      <c r="J246" s="230">
        <f>SUM(J251,J256,J261,J266)</f>
        <v>980.24199999999985</v>
      </c>
      <c r="K246" s="225">
        <f t="shared" ref="K246:M246" si="100">SUM(K251,K256,K261,K266)</f>
        <v>980.24199999999985</v>
      </c>
      <c r="L246" s="225">
        <f t="shared" si="100"/>
        <v>0</v>
      </c>
      <c r="M246" s="225">
        <f t="shared" si="100"/>
        <v>0</v>
      </c>
      <c r="N246" s="2476" t="s">
        <v>2288</v>
      </c>
      <c r="O246" s="2531" t="s">
        <v>4128</v>
      </c>
      <c r="P246" s="2488"/>
      <c r="Q246" s="2475" t="s">
        <v>1661</v>
      </c>
      <c r="R246" s="2342" t="s">
        <v>4255</v>
      </c>
      <c r="S246" s="2475" t="s">
        <v>1340</v>
      </c>
      <c r="T246" s="2475" t="s">
        <v>308</v>
      </c>
      <c r="U246" s="2475"/>
      <c r="V246" s="2507"/>
      <c r="W246" s="2475" t="s">
        <v>2994</v>
      </c>
    </row>
    <row r="247" spans="1:130" ht="39" customHeight="1">
      <c r="A247" s="2565"/>
      <c r="B247" s="2575"/>
      <c r="C247" s="2568"/>
      <c r="D247" s="299" t="s">
        <v>2928</v>
      </c>
      <c r="E247" s="225">
        <v>60.359000000000002</v>
      </c>
      <c r="F247" s="318">
        <f>H247/E247-1</f>
        <v>0.73796782584204501</v>
      </c>
      <c r="G247" s="225">
        <v>104.902</v>
      </c>
      <c r="H247" s="225">
        <v>104.902</v>
      </c>
      <c r="I247" s="510">
        <f t="shared" si="95"/>
        <v>1.3128348363234257</v>
      </c>
      <c r="J247" s="230">
        <f>SUM(J253,J254,J258,J259,J263,J264,J268,J269)</f>
        <v>242.62100000000001</v>
      </c>
      <c r="K247" s="225">
        <f>SUM(K253,K254,K258,K259,K263,K264,K268,K269)</f>
        <v>242.62100000000001</v>
      </c>
      <c r="L247" s="225">
        <f>SUM(L253,L254,L258,L259,L263,L264,L268,L269)</f>
        <v>0</v>
      </c>
      <c r="M247" s="225">
        <f t="shared" ref="M247" si="101">SUM(M253,M254,M258,M259,M263,M264,M268,M269)</f>
        <v>0</v>
      </c>
      <c r="N247" s="2476"/>
      <c r="O247" s="2532"/>
      <c r="P247" s="2488"/>
      <c r="Q247" s="2475"/>
      <c r="R247" s="2342"/>
      <c r="S247" s="2475"/>
      <c r="T247" s="2475"/>
      <c r="U247" s="2475"/>
      <c r="V247" s="2533"/>
      <c r="W247" s="2475"/>
    </row>
    <row r="248" spans="1:130" ht="39" customHeight="1">
      <c r="A248" s="2565"/>
      <c r="B248" s="2575"/>
      <c r="C248" s="2568"/>
      <c r="D248" s="299" t="s">
        <v>413</v>
      </c>
      <c r="E248" s="225"/>
      <c r="F248" s="318"/>
      <c r="G248" s="225">
        <v>260.47000000000003</v>
      </c>
      <c r="H248" s="225">
        <v>260.47000000000003</v>
      </c>
      <c r="I248" s="510">
        <f t="shared" si="95"/>
        <v>-0.35654010058739971</v>
      </c>
      <c r="J248" s="230">
        <f>SUM(J252,J257,J262,J267)</f>
        <v>167.602</v>
      </c>
      <c r="K248" s="225">
        <f t="shared" ref="K248:M248" si="102">SUM(K252,K257,K262,K267)</f>
        <v>167.602</v>
      </c>
      <c r="L248" s="225">
        <f>SUM(L252,L257,L262,L267)</f>
        <v>0</v>
      </c>
      <c r="M248" s="225">
        <f t="shared" si="102"/>
        <v>0</v>
      </c>
      <c r="N248" s="2476"/>
      <c r="O248" s="2532"/>
      <c r="P248" s="2488"/>
      <c r="Q248" s="2475"/>
      <c r="R248" s="2342"/>
      <c r="S248" s="2475"/>
      <c r="T248" s="2475"/>
      <c r="U248" s="2475"/>
      <c r="V248" s="2533"/>
      <c r="W248" s="2475"/>
    </row>
    <row r="249" spans="1:130" ht="39" customHeight="1">
      <c r="A249" s="2565"/>
      <c r="B249" s="2575"/>
      <c r="C249" s="2568"/>
      <c r="D249" s="299" t="s">
        <v>471</v>
      </c>
      <c r="E249" s="225"/>
      <c r="F249" s="318"/>
      <c r="G249" s="225"/>
      <c r="H249" s="225"/>
      <c r="I249" s="510"/>
      <c r="J249" s="230"/>
      <c r="K249" s="225"/>
      <c r="L249" s="225"/>
      <c r="M249" s="225"/>
      <c r="N249" s="2476"/>
      <c r="O249" s="2532"/>
      <c r="P249" s="2488"/>
      <c r="Q249" s="2475"/>
      <c r="R249" s="2342"/>
      <c r="S249" s="2475"/>
      <c r="T249" s="2475"/>
      <c r="U249" s="2475"/>
      <c r="V249" s="2533"/>
      <c r="W249" s="2475"/>
    </row>
    <row r="250" spans="1:130" ht="39" customHeight="1">
      <c r="A250" s="2565"/>
      <c r="B250" s="2575"/>
      <c r="C250" s="2568"/>
      <c r="D250" s="334" t="s">
        <v>1121</v>
      </c>
      <c r="E250" s="224">
        <f>SUM(E246:E247)</f>
        <v>60.359000000000002</v>
      </c>
      <c r="F250" s="321">
        <f>H250/E250-1</f>
        <v>19.808297022813498</v>
      </c>
      <c r="G250" s="224">
        <f>SUM(G246:G248)</f>
        <v>1255.9680000000001</v>
      </c>
      <c r="H250" s="224">
        <f>SUM(H246,H247,H248,H249,)</f>
        <v>1255.9680000000001</v>
      </c>
      <c r="I250" s="526">
        <f t="shared" si="95"/>
        <v>0.10708632704017917</v>
      </c>
      <c r="J250" s="273">
        <f>SUM(J246,J247,J248,J249,)</f>
        <v>1390.4649999999999</v>
      </c>
      <c r="K250" s="224">
        <f t="shared" ref="K250:M250" si="103">SUM(K246,K247,K248,K249,)</f>
        <v>1390.4649999999999</v>
      </c>
      <c r="L250" s="224">
        <f t="shared" si="103"/>
        <v>0</v>
      </c>
      <c r="M250" s="224">
        <f t="shared" si="103"/>
        <v>0</v>
      </c>
      <c r="N250" s="2476"/>
      <c r="O250" s="2532"/>
      <c r="P250" s="2488"/>
      <c r="Q250" s="2475"/>
      <c r="R250" s="2342"/>
      <c r="S250" s="2475"/>
      <c r="T250" s="2475"/>
      <c r="U250" s="2475"/>
      <c r="V250" s="2508"/>
      <c r="W250" s="2475"/>
    </row>
    <row r="251" spans="1:130" s="528" customFormat="1" ht="39" hidden="1" customHeight="1">
      <c r="A251" s="2667"/>
      <c r="B251" s="2648" t="s">
        <v>3277</v>
      </c>
      <c r="C251" s="2670"/>
      <c r="D251" s="512" t="s">
        <v>246</v>
      </c>
      <c r="E251" s="513"/>
      <c r="F251" s="553"/>
      <c r="G251" s="513"/>
      <c r="H251" s="513"/>
      <c r="I251" s="513"/>
      <c r="J251" s="515">
        <v>503.30799999999999</v>
      </c>
      <c r="K251" s="515">
        <v>503.30799999999999</v>
      </c>
      <c r="L251" s="513"/>
      <c r="M251" s="513"/>
      <c r="N251" s="2521"/>
      <c r="O251" s="2522"/>
      <c r="P251" s="2488"/>
      <c r="Q251" s="2518"/>
      <c r="R251" s="2509"/>
      <c r="S251" s="2510"/>
      <c r="T251" s="2510"/>
      <c r="U251" s="2511"/>
      <c r="V251" s="218"/>
      <c r="W251" s="2518"/>
      <c r="Y251" s="295"/>
      <c r="Z251" s="295"/>
      <c r="AA251" s="295"/>
      <c r="AB251" s="295"/>
      <c r="AC251" s="295"/>
      <c r="AD251" s="295"/>
      <c r="AE251" s="295"/>
      <c r="AF251" s="295"/>
      <c r="AG251" s="295"/>
      <c r="AH251" s="295"/>
      <c r="AI251" s="295"/>
      <c r="AJ251" s="295"/>
      <c r="AK251" s="295"/>
      <c r="AL251" s="295"/>
      <c r="AM251" s="295"/>
      <c r="AN251" s="295"/>
      <c r="AO251" s="295"/>
      <c r="AP251" s="295"/>
      <c r="AQ251" s="295"/>
      <c r="AR251" s="295"/>
      <c r="AS251" s="295"/>
      <c r="AT251" s="295"/>
      <c r="AU251" s="295"/>
      <c r="AV251" s="295"/>
      <c r="AW251" s="295"/>
      <c r="AX251" s="295"/>
      <c r="AY251" s="295"/>
      <c r="AZ251" s="295"/>
      <c r="BA251" s="295"/>
      <c r="BB251" s="295"/>
      <c r="BC251" s="295"/>
      <c r="BD251" s="295"/>
      <c r="BE251" s="295"/>
      <c r="BF251" s="295"/>
      <c r="BG251" s="295"/>
      <c r="BH251" s="295"/>
      <c r="BI251" s="295"/>
      <c r="BJ251" s="295"/>
      <c r="BK251" s="295"/>
      <c r="BL251" s="295"/>
      <c r="BM251" s="295"/>
      <c r="BN251" s="295"/>
      <c r="BO251" s="295"/>
      <c r="BP251" s="295"/>
      <c r="BQ251" s="295"/>
      <c r="BR251" s="295"/>
      <c r="BS251" s="295"/>
      <c r="BT251" s="295"/>
      <c r="BU251" s="295"/>
      <c r="BV251" s="295"/>
      <c r="BW251" s="295"/>
      <c r="BX251" s="295"/>
      <c r="BY251" s="295"/>
      <c r="BZ251" s="295"/>
      <c r="CA251" s="295"/>
      <c r="CB251" s="295"/>
      <c r="CC251" s="295"/>
      <c r="CD251" s="295"/>
      <c r="CE251" s="295"/>
      <c r="CF251" s="295"/>
      <c r="CG251" s="295"/>
      <c r="CH251" s="295"/>
      <c r="CI251" s="295"/>
      <c r="CJ251" s="295"/>
      <c r="CK251" s="295"/>
      <c r="CL251" s="295"/>
      <c r="CM251" s="295"/>
      <c r="CN251" s="295"/>
      <c r="CO251" s="295"/>
      <c r="CP251" s="295"/>
      <c r="CQ251" s="295"/>
      <c r="CR251" s="295"/>
      <c r="CS251" s="295"/>
      <c r="CT251" s="295"/>
      <c r="CU251" s="295"/>
      <c r="CV251" s="295"/>
      <c r="CW251" s="295"/>
      <c r="CX251" s="295"/>
      <c r="CY251" s="295"/>
      <c r="CZ251" s="295"/>
      <c r="DA251" s="295"/>
      <c r="DB251" s="295"/>
      <c r="DC251" s="295"/>
      <c r="DD251" s="295"/>
      <c r="DE251" s="295"/>
      <c r="DF251" s="295"/>
      <c r="DG251" s="295"/>
      <c r="DH251" s="295"/>
      <c r="DI251" s="295"/>
      <c r="DJ251" s="295"/>
      <c r="DK251" s="295"/>
      <c r="DL251" s="295"/>
      <c r="DM251" s="295"/>
      <c r="DN251" s="295"/>
      <c r="DO251" s="295"/>
      <c r="DP251" s="295"/>
      <c r="DQ251" s="295"/>
      <c r="DR251" s="295"/>
      <c r="DS251" s="295"/>
      <c r="DT251" s="295"/>
      <c r="DU251" s="295"/>
      <c r="DV251" s="295"/>
      <c r="DW251" s="295"/>
      <c r="DX251" s="295"/>
      <c r="DY251" s="295"/>
      <c r="DZ251" s="295"/>
    </row>
    <row r="252" spans="1:130" s="528" customFormat="1" ht="39" hidden="1" customHeight="1">
      <c r="A252" s="2668"/>
      <c r="B252" s="2649"/>
      <c r="C252" s="2671"/>
      <c r="D252" s="512" t="s">
        <v>413</v>
      </c>
      <c r="E252" s="513"/>
      <c r="F252" s="553"/>
      <c r="G252" s="513"/>
      <c r="H252" s="513"/>
      <c r="I252" s="513"/>
      <c r="J252" s="515">
        <v>89.191999999999993</v>
      </c>
      <c r="K252" s="515">
        <v>89.191999999999993</v>
      </c>
      <c r="L252" s="513"/>
      <c r="M252" s="513"/>
      <c r="N252" s="2523"/>
      <c r="O252" s="2524"/>
      <c r="P252" s="2488"/>
      <c r="Q252" s="2519"/>
      <c r="R252" s="2512"/>
      <c r="S252" s="2513"/>
      <c r="T252" s="2513"/>
      <c r="U252" s="2514"/>
      <c r="V252" s="218"/>
      <c r="W252" s="2519"/>
      <c r="Y252" s="295"/>
      <c r="Z252" s="295"/>
      <c r="AA252" s="295"/>
      <c r="AB252" s="295"/>
      <c r="AC252" s="295"/>
      <c r="AD252" s="295"/>
      <c r="AE252" s="295"/>
      <c r="AF252" s="295"/>
      <c r="AG252" s="295"/>
      <c r="AH252" s="295"/>
      <c r="AI252" s="295"/>
      <c r="AJ252" s="295"/>
      <c r="AK252" s="295"/>
      <c r="AL252" s="295"/>
      <c r="AM252" s="295"/>
      <c r="AN252" s="295"/>
      <c r="AO252" s="295"/>
      <c r="AP252" s="295"/>
      <c r="AQ252" s="295"/>
      <c r="AR252" s="295"/>
      <c r="AS252" s="295"/>
      <c r="AT252" s="295"/>
      <c r="AU252" s="295"/>
      <c r="AV252" s="295"/>
      <c r="AW252" s="295"/>
      <c r="AX252" s="295"/>
      <c r="AY252" s="295"/>
      <c r="AZ252" s="295"/>
      <c r="BA252" s="295"/>
      <c r="BB252" s="295"/>
      <c r="BC252" s="295"/>
      <c r="BD252" s="295"/>
      <c r="BE252" s="295"/>
      <c r="BF252" s="295"/>
      <c r="BG252" s="295"/>
      <c r="BH252" s="295"/>
      <c r="BI252" s="295"/>
      <c r="BJ252" s="295"/>
      <c r="BK252" s="295"/>
      <c r="BL252" s="295"/>
      <c r="BM252" s="295"/>
      <c r="BN252" s="295"/>
      <c r="BO252" s="295"/>
      <c r="BP252" s="295"/>
      <c r="BQ252" s="295"/>
      <c r="BR252" s="295"/>
      <c r="BS252" s="295"/>
      <c r="BT252" s="295"/>
      <c r="BU252" s="295"/>
      <c r="BV252" s="295"/>
      <c r="BW252" s="295"/>
      <c r="BX252" s="295"/>
      <c r="BY252" s="295"/>
      <c r="BZ252" s="295"/>
      <c r="CA252" s="295"/>
      <c r="CB252" s="295"/>
      <c r="CC252" s="295"/>
      <c r="CD252" s="295"/>
      <c r="CE252" s="295"/>
      <c r="CF252" s="295"/>
      <c r="CG252" s="295"/>
      <c r="CH252" s="295"/>
      <c r="CI252" s="295"/>
      <c r="CJ252" s="295"/>
      <c r="CK252" s="295"/>
      <c r="CL252" s="295"/>
      <c r="CM252" s="295"/>
      <c r="CN252" s="295"/>
      <c r="CO252" s="295"/>
      <c r="CP252" s="295"/>
      <c r="CQ252" s="295"/>
      <c r="CR252" s="295"/>
      <c r="CS252" s="295"/>
      <c r="CT252" s="295"/>
      <c r="CU252" s="295"/>
      <c r="CV252" s="295"/>
      <c r="CW252" s="295"/>
      <c r="CX252" s="295"/>
      <c r="CY252" s="295"/>
      <c r="CZ252" s="295"/>
      <c r="DA252" s="295"/>
      <c r="DB252" s="295"/>
      <c r="DC252" s="295"/>
      <c r="DD252" s="295"/>
      <c r="DE252" s="295"/>
      <c r="DF252" s="295"/>
      <c r="DG252" s="295"/>
      <c r="DH252" s="295"/>
      <c r="DI252" s="295"/>
      <c r="DJ252" s="295"/>
      <c r="DK252" s="295"/>
      <c r="DL252" s="295"/>
      <c r="DM252" s="295"/>
      <c r="DN252" s="295"/>
      <c r="DO252" s="295"/>
      <c r="DP252" s="295"/>
      <c r="DQ252" s="295"/>
      <c r="DR252" s="295"/>
      <c r="DS252" s="295"/>
      <c r="DT252" s="295"/>
      <c r="DU252" s="295"/>
      <c r="DV252" s="295"/>
      <c r="DW252" s="295"/>
      <c r="DX252" s="295"/>
      <c r="DY252" s="295"/>
      <c r="DZ252" s="295"/>
    </row>
    <row r="253" spans="1:130" s="528" customFormat="1" ht="39" hidden="1" customHeight="1">
      <c r="A253" s="2668"/>
      <c r="B253" s="2649"/>
      <c r="C253" s="2671"/>
      <c r="D253" s="512" t="s">
        <v>2928</v>
      </c>
      <c r="E253" s="513"/>
      <c r="F253" s="553"/>
      <c r="G253" s="513"/>
      <c r="H253" s="513"/>
      <c r="I253" s="513"/>
      <c r="J253" s="515">
        <v>131.12700000000001</v>
      </c>
      <c r="K253" s="513">
        <v>131.12700000000001</v>
      </c>
      <c r="L253" s="513"/>
      <c r="M253" s="513"/>
      <c r="N253" s="2523"/>
      <c r="O253" s="2524"/>
      <c r="P253" s="2488"/>
      <c r="Q253" s="2519"/>
      <c r="R253" s="2512"/>
      <c r="S253" s="2513"/>
      <c r="T253" s="2513"/>
      <c r="U253" s="2514"/>
      <c r="V253" s="218"/>
      <c r="W253" s="2519"/>
      <c r="Y253" s="295"/>
      <c r="Z253" s="295"/>
      <c r="AA253" s="295"/>
      <c r="AB253" s="295"/>
      <c r="AC253" s="295"/>
      <c r="AD253" s="295"/>
      <c r="AE253" s="295"/>
      <c r="AF253" s="295"/>
      <c r="AG253" s="295"/>
      <c r="AH253" s="295"/>
      <c r="AI253" s="295"/>
      <c r="AJ253" s="295"/>
      <c r="AK253" s="295"/>
      <c r="AL253" s="295"/>
      <c r="AM253" s="295"/>
      <c r="AN253" s="295"/>
      <c r="AO253" s="295"/>
      <c r="AP253" s="295"/>
      <c r="AQ253" s="295"/>
      <c r="AR253" s="295"/>
      <c r="AS253" s="295"/>
      <c r="AT253" s="295"/>
      <c r="AU253" s="295"/>
      <c r="AV253" s="295"/>
      <c r="AW253" s="295"/>
      <c r="AX253" s="295"/>
      <c r="AY253" s="295"/>
      <c r="AZ253" s="295"/>
      <c r="BA253" s="295"/>
      <c r="BB253" s="295"/>
      <c r="BC253" s="295"/>
      <c r="BD253" s="295"/>
      <c r="BE253" s="295"/>
      <c r="BF253" s="295"/>
      <c r="BG253" s="295"/>
      <c r="BH253" s="295"/>
      <c r="BI253" s="295"/>
      <c r="BJ253" s="295"/>
      <c r="BK253" s="295"/>
      <c r="BL253" s="295"/>
      <c r="BM253" s="295"/>
      <c r="BN253" s="295"/>
      <c r="BO253" s="295"/>
      <c r="BP253" s="295"/>
      <c r="BQ253" s="295"/>
      <c r="BR253" s="295"/>
      <c r="BS253" s="295"/>
      <c r="BT253" s="295"/>
      <c r="BU253" s="295"/>
      <c r="BV253" s="295"/>
      <c r="BW253" s="295"/>
      <c r="BX253" s="295"/>
      <c r="BY253" s="295"/>
      <c r="BZ253" s="295"/>
      <c r="CA253" s="295"/>
      <c r="CB253" s="295"/>
      <c r="CC253" s="295"/>
      <c r="CD253" s="295"/>
      <c r="CE253" s="295"/>
      <c r="CF253" s="295"/>
      <c r="CG253" s="295"/>
      <c r="CH253" s="295"/>
      <c r="CI253" s="295"/>
      <c r="CJ253" s="295"/>
      <c r="CK253" s="295"/>
      <c r="CL253" s="295"/>
      <c r="CM253" s="295"/>
      <c r="CN253" s="295"/>
      <c r="CO253" s="295"/>
      <c r="CP253" s="295"/>
      <c r="CQ253" s="295"/>
      <c r="CR253" s="295"/>
      <c r="CS253" s="295"/>
      <c r="CT253" s="295"/>
      <c r="CU253" s="295"/>
      <c r="CV253" s="295"/>
      <c r="CW253" s="295"/>
      <c r="CX253" s="295"/>
      <c r="CY253" s="295"/>
      <c r="CZ253" s="295"/>
      <c r="DA253" s="295"/>
      <c r="DB253" s="295"/>
      <c r="DC253" s="295"/>
      <c r="DD253" s="295"/>
      <c r="DE253" s="295"/>
      <c r="DF253" s="295"/>
      <c r="DG253" s="295"/>
      <c r="DH253" s="295"/>
      <c r="DI253" s="295"/>
      <c r="DJ253" s="295"/>
      <c r="DK253" s="295"/>
      <c r="DL253" s="295"/>
      <c r="DM253" s="295"/>
      <c r="DN253" s="295"/>
      <c r="DO253" s="295"/>
      <c r="DP253" s="295"/>
      <c r="DQ253" s="295"/>
      <c r="DR253" s="295"/>
      <c r="DS253" s="295"/>
      <c r="DT253" s="295"/>
      <c r="DU253" s="295"/>
      <c r="DV253" s="295"/>
      <c r="DW253" s="295"/>
      <c r="DX253" s="295"/>
      <c r="DY253" s="295"/>
      <c r="DZ253" s="295"/>
    </row>
    <row r="254" spans="1:130" s="528" customFormat="1" ht="39" hidden="1" customHeight="1">
      <c r="A254" s="2668"/>
      <c r="B254" s="2649"/>
      <c r="C254" s="2671"/>
      <c r="D254" s="512" t="s">
        <v>3867</v>
      </c>
      <c r="E254" s="513"/>
      <c r="F254" s="553"/>
      <c r="G254" s="513"/>
      <c r="H254" s="513"/>
      <c r="I254" s="513"/>
      <c r="J254" s="515">
        <v>111.494</v>
      </c>
      <c r="K254" s="513">
        <v>111.494</v>
      </c>
      <c r="L254" s="513"/>
      <c r="M254" s="513"/>
      <c r="N254" s="2523"/>
      <c r="O254" s="2524"/>
      <c r="P254" s="2488"/>
      <c r="Q254" s="2519"/>
      <c r="R254" s="2512"/>
      <c r="S254" s="2513"/>
      <c r="T254" s="2513"/>
      <c r="U254" s="2514"/>
      <c r="V254" s="218"/>
      <c r="W254" s="2519"/>
      <c r="Y254" s="295"/>
      <c r="Z254" s="295"/>
      <c r="AA254" s="295"/>
      <c r="AB254" s="295"/>
      <c r="AC254" s="295"/>
      <c r="AD254" s="295"/>
      <c r="AE254" s="295"/>
      <c r="AF254" s="295"/>
      <c r="AG254" s="295"/>
      <c r="AH254" s="295"/>
      <c r="AI254" s="295"/>
      <c r="AJ254" s="295"/>
      <c r="AK254" s="295"/>
      <c r="AL254" s="295"/>
      <c r="AM254" s="295"/>
      <c r="AN254" s="295"/>
      <c r="AO254" s="295"/>
      <c r="AP254" s="295"/>
      <c r="AQ254" s="295"/>
      <c r="AR254" s="295"/>
      <c r="AS254" s="295"/>
      <c r="AT254" s="295"/>
      <c r="AU254" s="295"/>
      <c r="AV254" s="295"/>
      <c r="AW254" s="295"/>
      <c r="AX254" s="295"/>
      <c r="AY254" s="295"/>
      <c r="AZ254" s="295"/>
      <c r="BA254" s="295"/>
      <c r="BB254" s="295"/>
      <c r="BC254" s="295"/>
      <c r="BD254" s="295"/>
      <c r="BE254" s="295"/>
      <c r="BF254" s="295"/>
      <c r="BG254" s="295"/>
      <c r="BH254" s="295"/>
      <c r="BI254" s="295"/>
      <c r="BJ254" s="295"/>
      <c r="BK254" s="295"/>
      <c r="BL254" s="295"/>
      <c r="BM254" s="295"/>
      <c r="BN254" s="295"/>
      <c r="BO254" s="295"/>
      <c r="BP254" s="295"/>
      <c r="BQ254" s="295"/>
      <c r="BR254" s="295"/>
      <c r="BS254" s="295"/>
      <c r="BT254" s="295"/>
      <c r="BU254" s="295"/>
      <c r="BV254" s="295"/>
      <c r="BW254" s="295"/>
      <c r="BX254" s="295"/>
      <c r="BY254" s="295"/>
      <c r="BZ254" s="295"/>
      <c r="CA254" s="295"/>
      <c r="CB254" s="295"/>
      <c r="CC254" s="295"/>
      <c r="CD254" s="295"/>
      <c r="CE254" s="295"/>
      <c r="CF254" s="295"/>
      <c r="CG254" s="295"/>
      <c r="CH254" s="295"/>
      <c r="CI254" s="295"/>
      <c r="CJ254" s="295"/>
      <c r="CK254" s="295"/>
      <c r="CL254" s="295"/>
      <c r="CM254" s="295"/>
      <c r="CN254" s="295"/>
      <c r="CO254" s="295"/>
      <c r="CP254" s="295"/>
      <c r="CQ254" s="295"/>
      <c r="CR254" s="295"/>
      <c r="CS254" s="295"/>
      <c r="CT254" s="295"/>
      <c r="CU254" s="295"/>
      <c r="CV254" s="295"/>
      <c r="CW254" s="295"/>
      <c r="CX254" s="295"/>
      <c r="CY254" s="295"/>
      <c r="CZ254" s="295"/>
      <c r="DA254" s="295"/>
      <c r="DB254" s="295"/>
      <c r="DC254" s="295"/>
      <c r="DD254" s="295"/>
      <c r="DE254" s="295"/>
      <c r="DF254" s="295"/>
      <c r="DG254" s="295"/>
      <c r="DH254" s="295"/>
      <c r="DI254" s="295"/>
      <c r="DJ254" s="295"/>
      <c r="DK254" s="295"/>
      <c r="DL254" s="295"/>
      <c r="DM254" s="295"/>
      <c r="DN254" s="295"/>
      <c r="DO254" s="295"/>
      <c r="DP254" s="295"/>
      <c r="DQ254" s="295"/>
      <c r="DR254" s="295"/>
      <c r="DS254" s="295"/>
      <c r="DT254" s="295"/>
      <c r="DU254" s="295"/>
      <c r="DV254" s="295"/>
      <c r="DW254" s="295"/>
      <c r="DX254" s="295"/>
      <c r="DY254" s="295"/>
      <c r="DZ254" s="295"/>
    </row>
    <row r="255" spans="1:130" s="528" customFormat="1" ht="39" hidden="1" customHeight="1">
      <c r="A255" s="2669"/>
      <c r="B255" s="2650"/>
      <c r="C255" s="2672"/>
      <c r="D255" s="752" t="s">
        <v>3864</v>
      </c>
      <c r="E255" s="753"/>
      <c r="F255" s="755"/>
      <c r="G255" s="753"/>
      <c r="H255" s="753"/>
      <c r="I255" s="753"/>
      <c r="J255" s="754">
        <f>SUM(J251,J252,J253,J254)</f>
        <v>835.12099999999998</v>
      </c>
      <c r="K255" s="753">
        <f t="shared" ref="K255:M255" si="104">SUM(K251,K252,K253,K254)</f>
        <v>835.12099999999998</v>
      </c>
      <c r="L255" s="753">
        <f>SUM(L251,L252,L253,L254)</f>
        <v>0</v>
      </c>
      <c r="M255" s="753">
        <f t="shared" si="104"/>
        <v>0</v>
      </c>
      <c r="N255" s="2525"/>
      <c r="O255" s="2526"/>
      <c r="P255" s="2488"/>
      <c r="Q255" s="2520"/>
      <c r="R255" s="2515"/>
      <c r="S255" s="2516"/>
      <c r="T255" s="2516"/>
      <c r="U255" s="2517"/>
      <c r="V255" s="218"/>
      <c r="W255" s="2520"/>
      <c r="Y255" s="295"/>
      <c r="Z255" s="295"/>
      <c r="AA255" s="295"/>
      <c r="AB255" s="295"/>
      <c r="AC255" s="295"/>
      <c r="AD255" s="295"/>
      <c r="AE255" s="295"/>
      <c r="AF255" s="295"/>
      <c r="AG255" s="295"/>
      <c r="AH255" s="295"/>
      <c r="AI255" s="295"/>
      <c r="AJ255" s="295"/>
      <c r="AK255" s="295"/>
      <c r="AL255" s="295"/>
      <c r="AM255" s="295"/>
      <c r="AN255" s="295"/>
      <c r="AO255" s="295"/>
      <c r="AP255" s="295"/>
      <c r="AQ255" s="295"/>
      <c r="AR255" s="295"/>
      <c r="AS255" s="295"/>
      <c r="AT255" s="295"/>
      <c r="AU255" s="295"/>
      <c r="AV255" s="295"/>
      <c r="AW255" s="295"/>
      <c r="AX255" s="295"/>
      <c r="AY255" s="295"/>
      <c r="AZ255" s="295"/>
      <c r="BA255" s="295"/>
      <c r="BB255" s="295"/>
      <c r="BC255" s="295"/>
      <c r="BD255" s="295"/>
      <c r="BE255" s="295"/>
      <c r="BF255" s="295"/>
      <c r="BG255" s="295"/>
      <c r="BH255" s="295"/>
      <c r="BI255" s="295"/>
      <c r="BJ255" s="295"/>
      <c r="BK255" s="295"/>
      <c r="BL255" s="295"/>
      <c r="BM255" s="295"/>
      <c r="BN255" s="295"/>
      <c r="BO255" s="295"/>
      <c r="BP255" s="295"/>
      <c r="BQ255" s="295"/>
      <c r="BR255" s="295"/>
      <c r="BS255" s="295"/>
      <c r="BT255" s="295"/>
      <c r="BU255" s="295"/>
      <c r="BV255" s="295"/>
      <c r="BW255" s="295"/>
      <c r="BX255" s="295"/>
      <c r="BY255" s="295"/>
      <c r="BZ255" s="295"/>
      <c r="CA255" s="295"/>
      <c r="CB255" s="295"/>
      <c r="CC255" s="295"/>
      <c r="CD255" s="295"/>
      <c r="CE255" s="295"/>
      <c r="CF255" s="295"/>
      <c r="CG255" s="295"/>
      <c r="CH255" s="295"/>
      <c r="CI255" s="295"/>
      <c r="CJ255" s="295"/>
      <c r="CK255" s="295"/>
      <c r="CL255" s="295"/>
      <c r="CM255" s="295"/>
      <c r="CN255" s="295"/>
      <c r="CO255" s="295"/>
      <c r="CP255" s="295"/>
      <c r="CQ255" s="295"/>
      <c r="CR255" s="295"/>
      <c r="CS255" s="295"/>
      <c r="CT255" s="295"/>
      <c r="CU255" s="295"/>
      <c r="CV255" s="295"/>
      <c r="CW255" s="295"/>
      <c r="CX255" s="295"/>
      <c r="CY255" s="295"/>
      <c r="CZ255" s="295"/>
      <c r="DA255" s="295"/>
      <c r="DB255" s="295"/>
      <c r="DC255" s="295"/>
      <c r="DD255" s="295"/>
      <c r="DE255" s="295"/>
      <c r="DF255" s="295"/>
      <c r="DG255" s="295"/>
      <c r="DH255" s="295"/>
      <c r="DI255" s="295"/>
      <c r="DJ255" s="295"/>
      <c r="DK255" s="295"/>
      <c r="DL255" s="295"/>
      <c r="DM255" s="295"/>
      <c r="DN255" s="295"/>
      <c r="DO255" s="295"/>
      <c r="DP255" s="295"/>
      <c r="DQ255" s="295"/>
      <c r="DR255" s="295"/>
      <c r="DS255" s="295"/>
      <c r="DT255" s="295"/>
      <c r="DU255" s="295"/>
      <c r="DV255" s="295"/>
      <c r="DW255" s="295"/>
      <c r="DX255" s="295"/>
      <c r="DY255" s="295"/>
      <c r="DZ255" s="295"/>
    </row>
    <row r="256" spans="1:130" s="528" customFormat="1" ht="39" hidden="1" customHeight="1">
      <c r="A256" s="2590"/>
      <c r="B256" s="2648" t="s">
        <v>3280</v>
      </c>
      <c r="C256" s="2591"/>
      <c r="D256" s="512" t="s">
        <v>246</v>
      </c>
      <c r="E256" s="513"/>
      <c r="F256" s="553"/>
      <c r="G256" s="513"/>
      <c r="H256" s="513"/>
      <c r="I256" s="513"/>
      <c r="J256" s="515">
        <v>179.42599999999999</v>
      </c>
      <c r="K256" s="515">
        <v>179.42599999999999</v>
      </c>
      <c r="L256" s="513"/>
      <c r="M256" s="513"/>
      <c r="N256" s="2521"/>
      <c r="O256" s="2522"/>
      <c r="P256" s="2488"/>
      <c r="Q256" s="2518"/>
      <c r="R256" s="2509"/>
      <c r="S256" s="2510"/>
      <c r="T256" s="2510"/>
      <c r="U256" s="2511"/>
      <c r="V256" s="218"/>
      <c r="W256" s="2518"/>
      <c r="Y256" s="295"/>
      <c r="Z256" s="295"/>
      <c r="AA256" s="295"/>
      <c r="AB256" s="295"/>
      <c r="AC256" s="295"/>
      <c r="AD256" s="295"/>
      <c r="AE256" s="295"/>
      <c r="AF256" s="295"/>
      <c r="AG256" s="295"/>
      <c r="AH256" s="295"/>
      <c r="AI256" s="295"/>
      <c r="AJ256" s="295"/>
      <c r="AK256" s="295"/>
      <c r="AL256" s="295"/>
      <c r="AM256" s="295"/>
      <c r="AN256" s="295"/>
      <c r="AO256" s="295"/>
      <c r="AP256" s="295"/>
      <c r="AQ256" s="295"/>
      <c r="AR256" s="295"/>
      <c r="AS256" s="295"/>
      <c r="AT256" s="295"/>
      <c r="AU256" s="295"/>
      <c r="AV256" s="295"/>
      <c r="AW256" s="295"/>
      <c r="AX256" s="295"/>
      <c r="AY256" s="295"/>
      <c r="AZ256" s="295"/>
      <c r="BA256" s="295"/>
      <c r="BB256" s="295"/>
      <c r="BC256" s="295"/>
      <c r="BD256" s="295"/>
      <c r="BE256" s="295"/>
      <c r="BF256" s="295"/>
      <c r="BG256" s="295"/>
      <c r="BH256" s="295"/>
      <c r="BI256" s="295"/>
      <c r="BJ256" s="295"/>
      <c r="BK256" s="295"/>
      <c r="BL256" s="295"/>
      <c r="BM256" s="295"/>
      <c r="BN256" s="295"/>
      <c r="BO256" s="295"/>
      <c r="BP256" s="295"/>
      <c r="BQ256" s="295"/>
      <c r="BR256" s="295"/>
      <c r="BS256" s="295"/>
      <c r="BT256" s="295"/>
      <c r="BU256" s="295"/>
      <c r="BV256" s="295"/>
      <c r="BW256" s="295"/>
      <c r="BX256" s="295"/>
      <c r="BY256" s="295"/>
      <c r="BZ256" s="295"/>
      <c r="CA256" s="295"/>
      <c r="CB256" s="295"/>
      <c r="CC256" s="295"/>
      <c r="CD256" s="295"/>
      <c r="CE256" s="295"/>
      <c r="CF256" s="295"/>
      <c r="CG256" s="295"/>
      <c r="CH256" s="295"/>
      <c r="CI256" s="295"/>
      <c r="CJ256" s="295"/>
      <c r="CK256" s="295"/>
      <c r="CL256" s="295"/>
      <c r="CM256" s="295"/>
      <c r="CN256" s="295"/>
      <c r="CO256" s="295"/>
      <c r="CP256" s="295"/>
      <c r="CQ256" s="295"/>
      <c r="CR256" s="295"/>
      <c r="CS256" s="295"/>
      <c r="CT256" s="295"/>
      <c r="CU256" s="295"/>
      <c r="CV256" s="295"/>
      <c r="CW256" s="295"/>
      <c r="CX256" s="295"/>
      <c r="CY256" s="295"/>
      <c r="CZ256" s="295"/>
      <c r="DA256" s="295"/>
      <c r="DB256" s="295"/>
      <c r="DC256" s="295"/>
      <c r="DD256" s="295"/>
      <c r="DE256" s="295"/>
      <c r="DF256" s="295"/>
      <c r="DG256" s="295"/>
      <c r="DH256" s="295"/>
      <c r="DI256" s="295"/>
      <c r="DJ256" s="295"/>
      <c r="DK256" s="295"/>
      <c r="DL256" s="295"/>
      <c r="DM256" s="295"/>
      <c r="DN256" s="295"/>
      <c r="DO256" s="295"/>
      <c r="DP256" s="295"/>
      <c r="DQ256" s="295"/>
      <c r="DR256" s="295"/>
      <c r="DS256" s="295"/>
      <c r="DT256" s="295"/>
      <c r="DU256" s="295"/>
      <c r="DV256" s="295"/>
      <c r="DW256" s="295"/>
      <c r="DX256" s="295"/>
      <c r="DY256" s="295"/>
      <c r="DZ256" s="295"/>
    </row>
    <row r="257" spans="1:130" s="528" customFormat="1" ht="39" hidden="1" customHeight="1">
      <c r="A257" s="2586"/>
      <c r="B257" s="2649"/>
      <c r="C257" s="2588"/>
      <c r="D257" s="512" t="s">
        <v>413</v>
      </c>
      <c r="E257" s="513"/>
      <c r="F257" s="553"/>
      <c r="G257" s="513"/>
      <c r="H257" s="513"/>
      <c r="I257" s="513"/>
      <c r="J257" s="515">
        <v>26.106999999999999</v>
      </c>
      <c r="K257" s="515">
        <v>26.106999999999999</v>
      </c>
      <c r="L257" s="513"/>
      <c r="M257" s="513"/>
      <c r="N257" s="2523"/>
      <c r="O257" s="2524"/>
      <c r="P257" s="2488"/>
      <c r="Q257" s="2519"/>
      <c r="R257" s="2512"/>
      <c r="S257" s="2513"/>
      <c r="T257" s="2513"/>
      <c r="U257" s="2514"/>
      <c r="V257" s="218"/>
      <c r="W257" s="2519"/>
      <c r="Y257" s="295"/>
      <c r="Z257" s="295"/>
      <c r="AA257" s="295"/>
      <c r="AB257" s="295"/>
      <c r="AC257" s="295"/>
      <c r="AD257" s="295"/>
      <c r="AE257" s="295"/>
      <c r="AF257" s="295"/>
      <c r="AG257" s="295"/>
      <c r="AH257" s="295"/>
      <c r="AI257" s="295"/>
      <c r="AJ257" s="295"/>
      <c r="AK257" s="295"/>
      <c r="AL257" s="295"/>
      <c r="AM257" s="295"/>
      <c r="AN257" s="295"/>
      <c r="AO257" s="295"/>
      <c r="AP257" s="295"/>
      <c r="AQ257" s="295"/>
      <c r="AR257" s="295"/>
      <c r="AS257" s="295"/>
      <c r="AT257" s="295"/>
      <c r="AU257" s="295"/>
      <c r="AV257" s="295"/>
      <c r="AW257" s="295"/>
      <c r="AX257" s="295"/>
      <c r="AY257" s="295"/>
      <c r="AZ257" s="295"/>
      <c r="BA257" s="295"/>
      <c r="BB257" s="295"/>
      <c r="BC257" s="295"/>
      <c r="BD257" s="295"/>
      <c r="BE257" s="295"/>
      <c r="BF257" s="295"/>
      <c r="BG257" s="295"/>
      <c r="BH257" s="295"/>
      <c r="BI257" s="295"/>
      <c r="BJ257" s="295"/>
      <c r="BK257" s="295"/>
      <c r="BL257" s="295"/>
      <c r="BM257" s="295"/>
      <c r="BN257" s="295"/>
      <c r="BO257" s="295"/>
      <c r="BP257" s="295"/>
      <c r="BQ257" s="295"/>
      <c r="BR257" s="295"/>
      <c r="BS257" s="295"/>
      <c r="BT257" s="295"/>
      <c r="BU257" s="295"/>
      <c r="BV257" s="295"/>
      <c r="BW257" s="295"/>
      <c r="BX257" s="295"/>
      <c r="BY257" s="295"/>
      <c r="BZ257" s="295"/>
      <c r="CA257" s="295"/>
      <c r="CB257" s="295"/>
      <c r="CC257" s="295"/>
      <c r="CD257" s="295"/>
      <c r="CE257" s="295"/>
      <c r="CF257" s="295"/>
      <c r="CG257" s="295"/>
      <c r="CH257" s="295"/>
      <c r="CI257" s="295"/>
      <c r="CJ257" s="295"/>
      <c r="CK257" s="295"/>
      <c r="CL257" s="295"/>
      <c r="CM257" s="295"/>
      <c r="CN257" s="295"/>
      <c r="CO257" s="295"/>
      <c r="CP257" s="295"/>
      <c r="CQ257" s="295"/>
      <c r="CR257" s="295"/>
      <c r="CS257" s="295"/>
      <c r="CT257" s="295"/>
      <c r="CU257" s="295"/>
      <c r="CV257" s="295"/>
      <c r="CW257" s="295"/>
      <c r="CX257" s="295"/>
      <c r="CY257" s="295"/>
      <c r="CZ257" s="295"/>
      <c r="DA257" s="295"/>
      <c r="DB257" s="295"/>
      <c r="DC257" s="295"/>
      <c r="DD257" s="295"/>
      <c r="DE257" s="295"/>
      <c r="DF257" s="295"/>
      <c r="DG257" s="295"/>
      <c r="DH257" s="295"/>
      <c r="DI257" s="295"/>
      <c r="DJ257" s="295"/>
      <c r="DK257" s="295"/>
      <c r="DL257" s="295"/>
      <c r="DM257" s="295"/>
      <c r="DN257" s="295"/>
      <c r="DO257" s="295"/>
      <c r="DP257" s="295"/>
      <c r="DQ257" s="295"/>
      <c r="DR257" s="295"/>
      <c r="DS257" s="295"/>
      <c r="DT257" s="295"/>
      <c r="DU257" s="295"/>
      <c r="DV257" s="295"/>
      <c r="DW257" s="295"/>
      <c r="DX257" s="295"/>
      <c r="DY257" s="295"/>
      <c r="DZ257" s="295"/>
    </row>
    <row r="258" spans="1:130" s="528" customFormat="1" ht="39" hidden="1" customHeight="1">
      <c r="A258" s="2586"/>
      <c r="B258" s="2649"/>
      <c r="C258" s="2588"/>
      <c r="D258" s="512" t="s">
        <v>2928</v>
      </c>
      <c r="E258" s="513"/>
      <c r="F258" s="553"/>
      <c r="G258" s="513"/>
      <c r="H258" s="513"/>
      <c r="I258" s="513"/>
      <c r="J258" s="515">
        <v>0</v>
      </c>
      <c r="K258" s="513"/>
      <c r="L258" s="513"/>
      <c r="M258" s="513"/>
      <c r="N258" s="2523"/>
      <c r="O258" s="2524"/>
      <c r="P258" s="2488"/>
      <c r="Q258" s="2519"/>
      <c r="R258" s="2512"/>
      <c r="S258" s="2513"/>
      <c r="T258" s="2513"/>
      <c r="U258" s="2514"/>
      <c r="V258" s="218"/>
      <c r="W258" s="2519"/>
      <c r="Y258" s="295"/>
      <c r="Z258" s="295"/>
      <c r="AA258" s="295"/>
      <c r="AB258" s="295"/>
      <c r="AC258" s="295"/>
      <c r="AD258" s="295"/>
      <c r="AE258" s="295"/>
      <c r="AF258" s="295"/>
      <c r="AG258" s="295"/>
      <c r="AH258" s="295"/>
      <c r="AI258" s="295"/>
      <c r="AJ258" s="295"/>
      <c r="AK258" s="295"/>
      <c r="AL258" s="295"/>
      <c r="AM258" s="295"/>
      <c r="AN258" s="295"/>
      <c r="AO258" s="295"/>
      <c r="AP258" s="295"/>
      <c r="AQ258" s="295"/>
      <c r="AR258" s="295"/>
      <c r="AS258" s="295"/>
      <c r="AT258" s="295"/>
      <c r="AU258" s="295"/>
      <c r="AV258" s="295"/>
      <c r="AW258" s="295"/>
      <c r="AX258" s="295"/>
      <c r="AY258" s="295"/>
      <c r="AZ258" s="295"/>
      <c r="BA258" s="295"/>
      <c r="BB258" s="295"/>
      <c r="BC258" s="295"/>
      <c r="BD258" s="295"/>
      <c r="BE258" s="295"/>
      <c r="BF258" s="295"/>
      <c r="BG258" s="295"/>
      <c r="BH258" s="295"/>
      <c r="BI258" s="295"/>
      <c r="BJ258" s="295"/>
      <c r="BK258" s="295"/>
      <c r="BL258" s="295"/>
      <c r="BM258" s="295"/>
      <c r="BN258" s="295"/>
      <c r="BO258" s="295"/>
      <c r="BP258" s="295"/>
      <c r="BQ258" s="295"/>
      <c r="BR258" s="295"/>
      <c r="BS258" s="295"/>
      <c r="BT258" s="295"/>
      <c r="BU258" s="295"/>
      <c r="BV258" s="295"/>
      <c r="BW258" s="295"/>
      <c r="BX258" s="295"/>
      <c r="BY258" s="295"/>
      <c r="BZ258" s="295"/>
      <c r="CA258" s="295"/>
      <c r="CB258" s="295"/>
      <c r="CC258" s="295"/>
      <c r="CD258" s="295"/>
      <c r="CE258" s="295"/>
      <c r="CF258" s="295"/>
      <c r="CG258" s="295"/>
      <c r="CH258" s="295"/>
      <c r="CI258" s="295"/>
      <c r="CJ258" s="295"/>
      <c r="CK258" s="295"/>
      <c r="CL258" s="295"/>
      <c r="CM258" s="295"/>
      <c r="CN258" s="295"/>
      <c r="CO258" s="295"/>
      <c r="CP258" s="295"/>
      <c r="CQ258" s="295"/>
      <c r="CR258" s="295"/>
      <c r="CS258" s="295"/>
      <c r="CT258" s="295"/>
      <c r="CU258" s="295"/>
      <c r="CV258" s="295"/>
      <c r="CW258" s="295"/>
      <c r="CX258" s="295"/>
      <c r="CY258" s="295"/>
      <c r="CZ258" s="295"/>
      <c r="DA258" s="295"/>
      <c r="DB258" s="295"/>
      <c r="DC258" s="295"/>
      <c r="DD258" s="295"/>
      <c r="DE258" s="295"/>
      <c r="DF258" s="295"/>
      <c r="DG258" s="295"/>
      <c r="DH258" s="295"/>
      <c r="DI258" s="295"/>
      <c r="DJ258" s="295"/>
      <c r="DK258" s="295"/>
      <c r="DL258" s="295"/>
      <c r="DM258" s="295"/>
      <c r="DN258" s="295"/>
      <c r="DO258" s="295"/>
      <c r="DP258" s="295"/>
      <c r="DQ258" s="295"/>
      <c r="DR258" s="295"/>
      <c r="DS258" s="295"/>
      <c r="DT258" s="295"/>
      <c r="DU258" s="295"/>
      <c r="DV258" s="295"/>
      <c r="DW258" s="295"/>
      <c r="DX258" s="295"/>
      <c r="DY258" s="295"/>
      <c r="DZ258" s="295"/>
    </row>
    <row r="259" spans="1:130" s="528" customFormat="1" ht="39" hidden="1" customHeight="1">
      <c r="A259" s="2586"/>
      <c r="B259" s="2649"/>
      <c r="C259" s="2588"/>
      <c r="D259" s="512" t="s">
        <v>3867</v>
      </c>
      <c r="E259" s="513"/>
      <c r="F259" s="553"/>
      <c r="G259" s="513"/>
      <c r="H259" s="513"/>
      <c r="I259" s="513"/>
      <c r="J259" s="515">
        <v>0</v>
      </c>
      <c r="K259" s="513"/>
      <c r="L259" s="513"/>
      <c r="M259" s="513"/>
      <c r="N259" s="2523"/>
      <c r="O259" s="2524"/>
      <c r="P259" s="2488"/>
      <c r="Q259" s="2519"/>
      <c r="R259" s="2512"/>
      <c r="S259" s="2513"/>
      <c r="T259" s="2513"/>
      <c r="U259" s="2514"/>
      <c r="V259" s="218"/>
      <c r="W259" s="2519"/>
      <c r="Y259" s="295"/>
      <c r="Z259" s="295"/>
      <c r="AA259" s="295"/>
      <c r="AB259" s="295"/>
      <c r="AC259" s="295"/>
      <c r="AD259" s="295"/>
      <c r="AE259" s="295"/>
      <c r="AF259" s="295"/>
      <c r="AG259" s="295"/>
      <c r="AH259" s="295"/>
      <c r="AI259" s="295"/>
      <c r="AJ259" s="295"/>
      <c r="AK259" s="295"/>
      <c r="AL259" s="295"/>
      <c r="AM259" s="295"/>
      <c r="AN259" s="295"/>
      <c r="AO259" s="295"/>
      <c r="AP259" s="295"/>
      <c r="AQ259" s="295"/>
      <c r="AR259" s="295"/>
      <c r="AS259" s="295"/>
      <c r="AT259" s="295"/>
      <c r="AU259" s="295"/>
      <c r="AV259" s="295"/>
      <c r="AW259" s="295"/>
      <c r="AX259" s="295"/>
      <c r="AY259" s="295"/>
      <c r="AZ259" s="295"/>
      <c r="BA259" s="295"/>
      <c r="BB259" s="295"/>
      <c r="BC259" s="295"/>
      <c r="BD259" s="295"/>
      <c r="BE259" s="295"/>
      <c r="BF259" s="295"/>
      <c r="BG259" s="295"/>
      <c r="BH259" s="295"/>
      <c r="BI259" s="295"/>
      <c r="BJ259" s="295"/>
      <c r="BK259" s="295"/>
      <c r="BL259" s="295"/>
      <c r="BM259" s="295"/>
      <c r="BN259" s="295"/>
      <c r="BO259" s="295"/>
      <c r="BP259" s="295"/>
      <c r="BQ259" s="295"/>
      <c r="BR259" s="295"/>
      <c r="BS259" s="295"/>
      <c r="BT259" s="295"/>
      <c r="BU259" s="295"/>
      <c r="BV259" s="295"/>
      <c r="BW259" s="295"/>
      <c r="BX259" s="295"/>
      <c r="BY259" s="295"/>
      <c r="BZ259" s="295"/>
      <c r="CA259" s="295"/>
      <c r="CB259" s="295"/>
      <c r="CC259" s="295"/>
      <c r="CD259" s="295"/>
      <c r="CE259" s="295"/>
      <c r="CF259" s="295"/>
      <c r="CG259" s="295"/>
      <c r="CH259" s="295"/>
      <c r="CI259" s="295"/>
      <c r="CJ259" s="295"/>
      <c r="CK259" s="295"/>
      <c r="CL259" s="295"/>
      <c r="CM259" s="295"/>
      <c r="CN259" s="295"/>
      <c r="CO259" s="295"/>
      <c r="CP259" s="295"/>
      <c r="CQ259" s="295"/>
      <c r="CR259" s="295"/>
      <c r="CS259" s="295"/>
      <c r="CT259" s="295"/>
      <c r="CU259" s="295"/>
      <c r="CV259" s="295"/>
      <c r="CW259" s="295"/>
      <c r="CX259" s="295"/>
      <c r="CY259" s="295"/>
      <c r="CZ259" s="295"/>
      <c r="DA259" s="295"/>
      <c r="DB259" s="295"/>
      <c r="DC259" s="295"/>
      <c r="DD259" s="295"/>
      <c r="DE259" s="295"/>
      <c r="DF259" s="295"/>
      <c r="DG259" s="295"/>
      <c r="DH259" s="295"/>
      <c r="DI259" s="295"/>
      <c r="DJ259" s="295"/>
      <c r="DK259" s="295"/>
      <c r="DL259" s="295"/>
      <c r="DM259" s="295"/>
      <c r="DN259" s="295"/>
      <c r="DO259" s="295"/>
      <c r="DP259" s="295"/>
      <c r="DQ259" s="295"/>
      <c r="DR259" s="295"/>
      <c r="DS259" s="295"/>
      <c r="DT259" s="295"/>
      <c r="DU259" s="295"/>
      <c r="DV259" s="295"/>
      <c r="DW259" s="295"/>
      <c r="DX259" s="295"/>
      <c r="DY259" s="295"/>
      <c r="DZ259" s="295"/>
    </row>
    <row r="260" spans="1:130" s="528" customFormat="1" ht="39" hidden="1" customHeight="1">
      <c r="A260" s="2587"/>
      <c r="B260" s="2650"/>
      <c r="C260" s="2589"/>
      <c r="D260" s="752" t="s">
        <v>3864</v>
      </c>
      <c r="E260" s="753"/>
      <c r="F260" s="755"/>
      <c r="G260" s="753"/>
      <c r="H260" s="753"/>
      <c r="I260" s="753"/>
      <c r="J260" s="754">
        <f>SUM(J256,J257,J258,J259)</f>
        <v>205.53299999999999</v>
      </c>
      <c r="K260" s="753">
        <f>SUM(K256,K257,K258,K259)</f>
        <v>205.53299999999999</v>
      </c>
      <c r="L260" s="753">
        <f t="shared" ref="L260" si="105">SUM(L256,L257,L258,L259)</f>
        <v>0</v>
      </c>
      <c r="M260" s="753">
        <f t="shared" ref="M260" si="106">SUM(M256,M257,M258,M259)</f>
        <v>0</v>
      </c>
      <c r="N260" s="2525"/>
      <c r="O260" s="2526"/>
      <c r="P260" s="2488"/>
      <c r="Q260" s="2520"/>
      <c r="R260" s="2515"/>
      <c r="S260" s="2516"/>
      <c r="T260" s="2516"/>
      <c r="U260" s="2517"/>
      <c r="V260" s="218"/>
      <c r="W260" s="2520"/>
      <c r="Y260" s="295"/>
      <c r="Z260" s="295"/>
      <c r="AA260" s="295"/>
      <c r="AB260" s="295"/>
      <c r="AC260" s="295"/>
      <c r="AD260" s="295"/>
      <c r="AE260" s="295"/>
      <c r="AF260" s="295"/>
      <c r="AG260" s="295"/>
      <c r="AH260" s="295"/>
      <c r="AI260" s="295"/>
      <c r="AJ260" s="295"/>
      <c r="AK260" s="295"/>
      <c r="AL260" s="295"/>
      <c r="AM260" s="295"/>
      <c r="AN260" s="295"/>
      <c r="AO260" s="295"/>
      <c r="AP260" s="295"/>
      <c r="AQ260" s="295"/>
      <c r="AR260" s="295"/>
      <c r="AS260" s="295"/>
      <c r="AT260" s="295"/>
      <c r="AU260" s="295"/>
      <c r="AV260" s="295"/>
      <c r="AW260" s="295"/>
      <c r="AX260" s="295"/>
      <c r="AY260" s="295"/>
      <c r="AZ260" s="295"/>
      <c r="BA260" s="295"/>
      <c r="BB260" s="295"/>
      <c r="BC260" s="295"/>
      <c r="BD260" s="295"/>
      <c r="BE260" s="295"/>
      <c r="BF260" s="295"/>
      <c r="BG260" s="295"/>
      <c r="BH260" s="295"/>
      <c r="BI260" s="295"/>
      <c r="BJ260" s="295"/>
      <c r="BK260" s="295"/>
      <c r="BL260" s="295"/>
      <c r="BM260" s="295"/>
      <c r="BN260" s="295"/>
      <c r="BO260" s="295"/>
      <c r="BP260" s="295"/>
      <c r="BQ260" s="295"/>
      <c r="BR260" s="295"/>
      <c r="BS260" s="295"/>
      <c r="BT260" s="295"/>
      <c r="BU260" s="295"/>
      <c r="BV260" s="295"/>
      <c r="BW260" s="295"/>
      <c r="BX260" s="295"/>
      <c r="BY260" s="295"/>
      <c r="BZ260" s="295"/>
      <c r="CA260" s="295"/>
      <c r="CB260" s="295"/>
      <c r="CC260" s="295"/>
      <c r="CD260" s="295"/>
      <c r="CE260" s="295"/>
      <c r="CF260" s="295"/>
      <c r="CG260" s="295"/>
      <c r="CH260" s="295"/>
      <c r="CI260" s="295"/>
      <c r="CJ260" s="295"/>
      <c r="CK260" s="295"/>
      <c r="CL260" s="295"/>
      <c r="CM260" s="295"/>
      <c r="CN260" s="295"/>
      <c r="CO260" s="295"/>
      <c r="CP260" s="295"/>
      <c r="CQ260" s="295"/>
      <c r="CR260" s="295"/>
      <c r="CS260" s="295"/>
      <c r="CT260" s="295"/>
      <c r="CU260" s="295"/>
      <c r="CV260" s="295"/>
      <c r="CW260" s="295"/>
      <c r="CX260" s="295"/>
      <c r="CY260" s="295"/>
      <c r="CZ260" s="295"/>
      <c r="DA260" s="295"/>
      <c r="DB260" s="295"/>
      <c r="DC260" s="295"/>
      <c r="DD260" s="295"/>
      <c r="DE260" s="295"/>
      <c r="DF260" s="295"/>
      <c r="DG260" s="295"/>
      <c r="DH260" s="295"/>
      <c r="DI260" s="295"/>
      <c r="DJ260" s="295"/>
      <c r="DK260" s="295"/>
      <c r="DL260" s="295"/>
      <c r="DM260" s="295"/>
      <c r="DN260" s="295"/>
      <c r="DO260" s="295"/>
      <c r="DP260" s="295"/>
      <c r="DQ260" s="295"/>
      <c r="DR260" s="295"/>
      <c r="DS260" s="295"/>
      <c r="DT260" s="295"/>
      <c r="DU260" s="295"/>
      <c r="DV260" s="295"/>
      <c r="DW260" s="295"/>
      <c r="DX260" s="295"/>
      <c r="DY260" s="295"/>
      <c r="DZ260" s="295"/>
    </row>
    <row r="261" spans="1:130" s="528" customFormat="1" ht="39" hidden="1" customHeight="1">
      <c r="A261" s="2590"/>
      <c r="B261" s="2648" t="s">
        <v>3278</v>
      </c>
      <c r="C261" s="2591"/>
      <c r="D261" s="512" t="s">
        <v>246</v>
      </c>
      <c r="E261" s="513"/>
      <c r="F261" s="553"/>
      <c r="G261" s="513"/>
      <c r="H261" s="513"/>
      <c r="I261" s="513"/>
      <c r="J261" s="515">
        <v>289.90499999999997</v>
      </c>
      <c r="K261" s="515">
        <v>289.90499999999997</v>
      </c>
      <c r="L261" s="513"/>
      <c r="M261" s="326"/>
      <c r="N261" s="2521"/>
      <c r="O261" s="2522"/>
      <c r="P261" s="2488"/>
      <c r="Q261" s="2518"/>
      <c r="R261" s="2509"/>
      <c r="S261" s="2510"/>
      <c r="T261" s="2510"/>
      <c r="U261" s="2511"/>
      <c r="V261" s="218"/>
      <c r="W261" s="2518"/>
      <c r="Y261" s="295"/>
      <c r="Z261" s="295"/>
      <c r="AA261" s="295"/>
      <c r="AB261" s="295"/>
      <c r="AC261" s="295"/>
      <c r="AD261" s="295"/>
      <c r="AE261" s="295"/>
      <c r="AF261" s="295"/>
      <c r="AG261" s="295"/>
      <c r="AH261" s="295"/>
      <c r="AI261" s="295"/>
      <c r="AJ261" s="295"/>
      <c r="AK261" s="295"/>
      <c r="AL261" s="295"/>
      <c r="AM261" s="295"/>
      <c r="AN261" s="295"/>
      <c r="AO261" s="295"/>
      <c r="AP261" s="295"/>
      <c r="AQ261" s="295"/>
      <c r="AR261" s="295"/>
      <c r="AS261" s="295"/>
      <c r="AT261" s="295"/>
      <c r="AU261" s="295"/>
      <c r="AV261" s="295"/>
      <c r="AW261" s="295"/>
      <c r="AX261" s="295"/>
      <c r="AY261" s="295"/>
      <c r="AZ261" s="295"/>
      <c r="BA261" s="295"/>
      <c r="BB261" s="295"/>
      <c r="BC261" s="295"/>
      <c r="BD261" s="295"/>
      <c r="BE261" s="295"/>
      <c r="BF261" s="295"/>
      <c r="BG261" s="295"/>
      <c r="BH261" s="295"/>
      <c r="BI261" s="295"/>
      <c r="BJ261" s="295"/>
      <c r="BK261" s="295"/>
      <c r="BL261" s="295"/>
      <c r="BM261" s="295"/>
      <c r="BN261" s="295"/>
      <c r="BO261" s="295"/>
      <c r="BP261" s="295"/>
      <c r="BQ261" s="295"/>
      <c r="BR261" s="295"/>
      <c r="BS261" s="295"/>
      <c r="BT261" s="295"/>
      <c r="BU261" s="295"/>
      <c r="BV261" s="295"/>
      <c r="BW261" s="295"/>
      <c r="BX261" s="295"/>
      <c r="BY261" s="295"/>
      <c r="BZ261" s="295"/>
      <c r="CA261" s="295"/>
      <c r="CB261" s="295"/>
      <c r="CC261" s="295"/>
      <c r="CD261" s="295"/>
      <c r="CE261" s="295"/>
      <c r="CF261" s="295"/>
      <c r="CG261" s="295"/>
      <c r="CH261" s="295"/>
      <c r="CI261" s="295"/>
      <c r="CJ261" s="295"/>
      <c r="CK261" s="295"/>
      <c r="CL261" s="295"/>
      <c r="CM261" s="295"/>
      <c r="CN261" s="295"/>
      <c r="CO261" s="295"/>
      <c r="CP261" s="295"/>
      <c r="CQ261" s="295"/>
      <c r="CR261" s="295"/>
      <c r="CS261" s="295"/>
      <c r="CT261" s="295"/>
      <c r="CU261" s="295"/>
      <c r="CV261" s="295"/>
      <c r="CW261" s="295"/>
      <c r="CX261" s="295"/>
      <c r="CY261" s="295"/>
      <c r="CZ261" s="295"/>
      <c r="DA261" s="295"/>
      <c r="DB261" s="295"/>
      <c r="DC261" s="295"/>
      <c r="DD261" s="295"/>
      <c r="DE261" s="295"/>
      <c r="DF261" s="295"/>
      <c r="DG261" s="295"/>
      <c r="DH261" s="295"/>
      <c r="DI261" s="295"/>
      <c r="DJ261" s="295"/>
      <c r="DK261" s="295"/>
      <c r="DL261" s="295"/>
      <c r="DM261" s="295"/>
      <c r="DN261" s="295"/>
      <c r="DO261" s="295"/>
      <c r="DP261" s="295"/>
      <c r="DQ261" s="295"/>
      <c r="DR261" s="295"/>
      <c r="DS261" s="295"/>
      <c r="DT261" s="295"/>
      <c r="DU261" s="295"/>
      <c r="DV261" s="295"/>
      <c r="DW261" s="295"/>
      <c r="DX261" s="295"/>
      <c r="DY261" s="295"/>
      <c r="DZ261" s="295"/>
    </row>
    <row r="262" spans="1:130" s="528" customFormat="1" ht="39" hidden="1" customHeight="1">
      <c r="A262" s="2586"/>
      <c r="B262" s="2649"/>
      <c r="C262" s="2588"/>
      <c r="D262" s="512" t="s">
        <v>413</v>
      </c>
      <c r="E262" s="513"/>
      <c r="F262" s="553"/>
      <c r="G262" s="513"/>
      <c r="H262" s="513"/>
      <c r="I262" s="513"/>
      <c r="J262" s="515">
        <v>49.676000000000002</v>
      </c>
      <c r="K262" s="513">
        <v>49.676000000000002</v>
      </c>
      <c r="L262" s="513"/>
      <c r="M262" s="326"/>
      <c r="N262" s="2523"/>
      <c r="O262" s="2524"/>
      <c r="P262" s="2488"/>
      <c r="Q262" s="2519"/>
      <c r="R262" s="2512"/>
      <c r="S262" s="2513"/>
      <c r="T262" s="2513"/>
      <c r="U262" s="2514"/>
      <c r="V262" s="218"/>
      <c r="W262" s="2519"/>
      <c r="Y262" s="295"/>
      <c r="Z262" s="295"/>
      <c r="AA262" s="295"/>
      <c r="AB262" s="295"/>
      <c r="AC262" s="295"/>
      <c r="AD262" s="295"/>
      <c r="AE262" s="295"/>
      <c r="AF262" s="295"/>
      <c r="AG262" s="295"/>
      <c r="AH262" s="295"/>
      <c r="AI262" s="295"/>
      <c r="AJ262" s="295"/>
      <c r="AK262" s="295"/>
      <c r="AL262" s="295"/>
      <c r="AM262" s="295"/>
      <c r="AN262" s="295"/>
      <c r="AO262" s="295"/>
      <c r="AP262" s="295"/>
      <c r="AQ262" s="295"/>
      <c r="AR262" s="295"/>
      <c r="AS262" s="295"/>
      <c r="AT262" s="295"/>
      <c r="AU262" s="295"/>
      <c r="AV262" s="295"/>
      <c r="AW262" s="295"/>
      <c r="AX262" s="295"/>
      <c r="AY262" s="295"/>
      <c r="AZ262" s="295"/>
      <c r="BA262" s="295"/>
      <c r="BB262" s="295"/>
      <c r="BC262" s="295"/>
      <c r="BD262" s="295"/>
      <c r="BE262" s="295"/>
      <c r="BF262" s="295"/>
      <c r="BG262" s="295"/>
      <c r="BH262" s="295"/>
      <c r="BI262" s="295"/>
      <c r="BJ262" s="295"/>
      <c r="BK262" s="295"/>
      <c r="BL262" s="295"/>
      <c r="BM262" s="295"/>
      <c r="BN262" s="295"/>
      <c r="BO262" s="295"/>
      <c r="BP262" s="295"/>
      <c r="BQ262" s="295"/>
      <c r="BR262" s="295"/>
      <c r="BS262" s="295"/>
      <c r="BT262" s="295"/>
      <c r="BU262" s="295"/>
      <c r="BV262" s="295"/>
      <c r="BW262" s="295"/>
      <c r="BX262" s="295"/>
      <c r="BY262" s="295"/>
      <c r="BZ262" s="295"/>
      <c r="CA262" s="295"/>
      <c r="CB262" s="295"/>
      <c r="CC262" s="295"/>
      <c r="CD262" s="295"/>
      <c r="CE262" s="295"/>
      <c r="CF262" s="295"/>
      <c r="CG262" s="295"/>
      <c r="CH262" s="295"/>
      <c r="CI262" s="295"/>
      <c r="CJ262" s="295"/>
      <c r="CK262" s="295"/>
      <c r="CL262" s="295"/>
      <c r="CM262" s="295"/>
      <c r="CN262" s="295"/>
      <c r="CO262" s="295"/>
      <c r="CP262" s="295"/>
      <c r="CQ262" s="295"/>
      <c r="CR262" s="295"/>
      <c r="CS262" s="295"/>
      <c r="CT262" s="295"/>
      <c r="CU262" s="295"/>
      <c r="CV262" s="295"/>
      <c r="CW262" s="295"/>
      <c r="CX262" s="295"/>
      <c r="CY262" s="295"/>
      <c r="CZ262" s="295"/>
      <c r="DA262" s="295"/>
      <c r="DB262" s="295"/>
      <c r="DC262" s="295"/>
      <c r="DD262" s="295"/>
      <c r="DE262" s="295"/>
      <c r="DF262" s="295"/>
      <c r="DG262" s="295"/>
      <c r="DH262" s="295"/>
      <c r="DI262" s="295"/>
      <c r="DJ262" s="295"/>
      <c r="DK262" s="295"/>
      <c r="DL262" s="295"/>
      <c r="DM262" s="295"/>
      <c r="DN262" s="295"/>
      <c r="DO262" s="295"/>
      <c r="DP262" s="295"/>
      <c r="DQ262" s="295"/>
      <c r="DR262" s="295"/>
      <c r="DS262" s="295"/>
      <c r="DT262" s="295"/>
      <c r="DU262" s="295"/>
      <c r="DV262" s="295"/>
      <c r="DW262" s="295"/>
      <c r="DX262" s="295"/>
      <c r="DY262" s="295"/>
      <c r="DZ262" s="295"/>
    </row>
    <row r="263" spans="1:130" s="528" customFormat="1" ht="39" hidden="1" customHeight="1">
      <c r="A263" s="2586"/>
      <c r="B263" s="2649"/>
      <c r="C263" s="2588"/>
      <c r="D263" s="512" t="s">
        <v>2928</v>
      </c>
      <c r="E263" s="513"/>
      <c r="F263" s="553"/>
      <c r="G263" s="513"/>
      <c r="H263" s="513"/>
      <c r="I263" s="513"/>
      <c r="J263" s="515">
        <v>0</v>
      </c>
      <c r="K263" s="513"/>
      <c r="L263" s="513"/>
      <c r="M263" s="326"/>
      <c r="N263" s="2523"/>
      <c r="O263" s="2524"/>
      <c r="P263" s="2488"/>
      <c r="Q263" s="2519"/>
      <c r="R263" s="2512"/>
      <c r="S263" s="2513"/>
      <c r="T263" s="2513"/>
      <c r="U263" s="2514"/>
      <c r="V263" s="218"/>
      <c r="W263" s="2519"/>
      <c r="Y263" s="295"/>
      <c r="Z263" s="295"/>
      <c r="AA263" s="295"/>
      <c r="AB263" s="295"/>
      <c r="AC263" s="295"/>
      <c r="AD263" s="295"/>
      <c r="AE263" s="295"/>
      <c r="AF263" s="295"/>
      <c r="AG263" s="295"/>
      <c r="AH263" s="295"/>
      <c r="AI263" s="295"/>
      <c r="AJ263" s="295"/>
      <c r="AK263" s="295"/>
      <c r="AL263" s="295"/>
      <c r="AM263" s="295"/>
      <c r="AN263" s="295"/>
      <c r="AO263" s="295"/>
      <c r="AP263" s="295"/>
      <c r="AQ263" s="295"/>
      <c r="AR263" s="295"/>
      <c r="AS263" s="295"/>
      <c r="AT263" s="295"/>
      <c r="AU263" s="295"/>
      <c r="AV263" s="295"/>
      <c r="AW263" s="295"/>
      <c r="AX263" s="295"/>
      <c r="AY263" s="295"/>
      <c r="AZ263" s="295"/>
      <c r="BA263" s="295"/>
      <c r="BB263" s="295"/>
      <c r="BC263" s="295"/>
      <c r="BD263" s="295"/>
      <c r="BE263" s="295"/>
      <c r="BF263" s="295"/>
      <c r="BG263" s="295"/>
      <c r="BH263" s="295"/>
      <c r="BI263" s="295"/>
      <c r="BJ263" s="295"/>
      <c r="BK263" s="295"/>
      <c r="BL263" s="295"/>
      <c r="BM263" s="295"/>
      <c r="BN263" s="295"/>
      <c r="BO263" s="295"/>
      <c r="BP263" s="295"/>
      <c r="BQ263" s="295"/>
      <c r="BR263" s="295"/>
      <c r="BS263" s="295"/>
      <c r="BT263" s="295"/>
      <c r="BU263" s="295"/>
      <c r="BV263" s="295"/>
      <c r="BW263" s="295"/>
      <c r="BX263" s="295"/>
      <c r="BY263" s="295"/>
      <c r="BZ263" s="295"/>
      <c r="CA263" s="295"/>
      <c r="CB263" s="295"/>
      <c r="CC263" s="295"/>
      <c r="CD263" s="295"/>
      <c r="CE263" s="295"/>
      <c r="CF263" s="295"/>
      <c r="CG263" s="295"/>
      <c r="CH263" s="295"/>
      <c r="CI263" s="295"/>
      <c r="CJ263" s="295"/>
      <c r="CK263" s="295"/>
      <c r="CL263" s="295"/>
      <c r="CM263" s="295"/>
      <c r="CN263" s="295"/>
      <c r="CO263" s="295"/>
      <c r="CP263" s="295"/>
      <c r="CQ263" s="295"/>
      <c r="CR263" s="295"/>
      <c r="CS263" s="295"/>
      <c r="CT263" s="295"/>
      <c r="CU263" s="295"/>
      <c r="CV263" s="295"/>
      <c r="CW263" s="295"/>
      <c r="CX263" s="295"/>
      <c r="CY263" s="295"/>
      <c r="CZ263" s="295"/>
      <c r="DA263" s="295"/>
      <c r="DB263" s="295"/>
      <c r="DC263" s="295"/>
      <c r="DD263" s="295"/>
      <c r="DE263" s="295"/>
      <c r="DF263" s="295"/>
      <c r="DG263" s="295"/>
      <c r="DH263" s="295"/>
      <c r="DI263" s="295"/>
      <c r="DJ263" s="295"/>
      <c r="DK263" s="295"/>
      <c r="DL263" s="295"/>
      <c r="DM263" s="295"/>
      <c r="DN263" s="295"/>
      <c r="DO263" s="295"/>
      <c r="DP263" s="295"/>
      <c r="DQ263" s="295"/>
      <c r="DR263" s="295"/>
      <c r="DS263" s="295"/>
      <c r="DT263" s="295"/>
      <c r="DU263" s="295"/>
      <c r="DV263" s="295"/>
      <c r="DW263" s="295"/>
      <c r="DX263" s="295"/>
      <c r="DY263" s="295"/>
      <c r="DZ263" s="295"/>
    </row>
    <row r="264" spans="1:130" s="528" customFormat="1" ht="39" hidden="1" customHeight="1">
      <c r="A264" s="2586"/>
      <c r="B264" s="2649"/>
      <c r="C264" s="2588"/>
      <c r="D264" s="512" t="s">
        <v>3867</v>
      </c>
      <c r="E264" s="513"/>
      <c r="F264" s="553"/>
      <c r="G264" s="513"/>
      <c r="H264" s="513"/>
      <c r="I264" s="513"/>
      <c r="J264" s="515">
        <v>0</v>
      </c>
      <c r="K264" s="513"/>
      <c r="L264" s="513"/>
      <c r="M264" s="326"/>
      <c r="N264" s="2523"/>
      <c r="O264" s="2524"/>
      <c r="P264" s="2488"/>
      <c r="Q264" s="2519"/>
      <c r="R264" s="2512"/>
      <c r="S264" s="2513"/>
      <c r="T264" s="2513"/>
      <c r="U264" s="2514"/>
      <c r="V264" s="218"/>
      <c r="W264" s="2519"/>
      <c r="Y264" s="295"/>
      <c r="Z264" s="295"/>
      <c r="AA264" s="295"/>
      <c r="AB264" s="295"/>
      <c r="AC264" s="295"/>
      <c r="AD264" s="295"/>
      <c r="AE264" s="295"/>
      <c r="AF264" s="295"/>
      <c r="AG264" s="295"/>
      <c r="AH264" s="295"/>
      <c r="AI264" s="295"/>
      <c r="AJ264" s="295"/>
      <c r="AK264" s="295"/>
      <c r="AL264" s="295"/>
      <c r="AM264" s="295"/>
      <c r="AN264" s="295"/>
      <c r="AO264" s="295"/>
      <c r="AP264" s="295"/>
      <c r="AQ264" s="295"/>
      <c r="AR264" s="295"/>
      <c r="AS264" s="295"/>
      <c r="AT264" s="295"/>
      <c r="AU264" s="295"/>
      <c r="AV264" s="295"/>
      <c r="AW264" s="295"/>
      <c r="AX264" s="295"/>
      <c r="AY264" s="295"/>
      <c r="AZ264" s="295"/>
      <c r="BA264" s="295"/>
      <c r="BB264" s="295"/>
      <c r="BC264" s="295"/>
      <c r="BD264" s="295"/>
      <c r="BE264" s="295"/>
      <c r="BF264" s="295"/>
      <c r="BG264" s="295"/>
      <c r="BH264" s="295"/>
      <c r="BI264" s="295"/>
      <c r="BJ264" s="295"/>
      <c r="BK264" s="295"/>
      <c r="BL264" s="295"/>
      <c r="BM264" s="295"/>
      <c r="BN264" s="295"/>
      <c r="BO264" s="295"/>
      <c r="BP264" s="295"/>
      <c r="BQ264" s="295"/>
      <c r="BR264" s="295"/>
      <c r="BS264" s="295"/>
      <c r="BT264" s="295"/>
      <c r="BU264" s="295"/>
      <c r="BV264" s="295"/>
      <c r="BW264" s="295"/>
      <c r="BX264" s="295"/>
      <c r="BY264" s="295"/>
      <c r="BZ264" s="295"/>
      <c r="CA264" s="295"/>
      <c r="CB264" s="295"/>
      <c r="CC264" s="295"/>
      <c r="CD264" s="295"/>
      <c r="CE264" s="295"/>
      <c r="CF264" s="295"/>
      <c r="CG264" s="295"/>
      <c r="CH264" s="295"/>
      <c r="CI264" s="295"/>
      <c r="CJ264" s="295"/>
      <c r="CK264" s="295"/>
      <c r="CL264" s="295"/>
      <c r="CM264" s="295"/>
      <c r="CN264" s="295"/>
      <c r="CO264" s="295"/>
      <c r="CP264" s="295"/>
      <c r="CQ264" s="295"/>
      <c r="CR264" s="295"/>
      <c r="CS264" s="295"/>
      <c r="CT264" s="295"/>
      <c r="CU264" s="295"/>
      <c r="CV264" s="295"/>
      <c r="CW264" s="295"/>
      <c r="CX264" s="295"/>
      <c r="CY264" s="295"/>
      <c r="CZ264" s="295"/>
      <c r="DA264" s="295"/>
      <c r="DB264" s="295"/>
      <c r="DC264" s="295"/>
      <c r="DD264" s="295"/>
      <c r="DE264" s="295"/>
      <c r="DF264" s="295"/>
      <c r="DG264" s="295"/>
      <c r="DH264" s="295"/>
      <c r="DI264" s="295"/>
      <c r="DJ264" s="295"/>
      <c r="DK264" s="295"/>
      <c r="DL264" s="295"/>
      <c r="DM264" s="295"/>
      <c r="DN264" s="295"/>
      <c r="DO264" s="295"/>
      <c r="DP264" s="295"/>
      <c r="DQ264" s="295"/>
      <c r="DR264" s="295"/>
      <c r="DS264" s="295"/>
      <c r="DT264" s="295"/>
      <c r="DU264" s="295"/>
      <c r="DV264" s="295"/>
      <c r="DW264" s="295"/>
      <c r="DX264" s="295"/>
      <c r="DY264" s="295"/>
      <c r="DZ264" s="295"/>
    </row>
    <row r="265" spans="1:130" s="528" customFormat="1" ht="39" hidden="1" customHeight="1">
      <c r="A265" s="2587"/>
      <c r="B265" s="2650"/>
      <c r="C265" s="2589"/>
      <c r="D265" s="752" t="s">
        <v>3864</v>
      </c>
      <c r="E265" s="753"/>
      <c r="F265" s="755"/>
      <c r="G265" s="753"/>
      <c r="H265" s="753"/>
      <c r="I265" s="753"/>
      <c r="J265" s="754">
        <f>SUM(J261,J262,J263,J264)</f>
        <v>339.58099999999996</v>
      </c>
      <c r="K265" s="753">
        <f>SUM(K261,K262,K263,K264)</f>
        <v>339.58099999999996</v>
      </c>
      <c r="L265" s="753">
        <f t="shared" ref="L265" si="107">SUM(L261,L262,L263,L264)</f>
        <v>0</v>
      </c>
      <c r="M265" s="753">
        <f t="shared" ref="M265" si="108">SUM(M261,M262,M263,M264)</f>
        <v>0</v>
      </c>
      <c r="N265" s="2525"/>
      <c r="O265" s="2526"/>
      <c r="P265" s="2488"/>
      <c r="Q265" s="2520"/>
      <c r="R265" s="2515"/>
      <c r="S265" s="2516"/>
      <c r="T265" s="2516"/>
      <c r="U265" s="2517"/>
      <c r="V265" s="218"/>
      <c r="W265" s="2520"/>
      <c r="Y265" s="295"/>
      <c r="Z265" s="295"/>
      <c r="AA265" s="295"/>
      <c r="AB265" s="295"/>
      <c r="AC265" s="295"/>
      <c r="AD265" s="295"/>
      <c r="AE265" s="295"/>
      <c r="AF265" s="295"/>
      <c r="AG265" s="295"/>
      <c r="AH265" s="295"/>
      <c r="AI265" s="295"/>
      <c r="AJ265" s="295"/>
      <c r="AK265" s="295"/>
      <c r="AL265" s="295"/>
      <c r="AM265" s="295"/>
      <c r="AN265" s="295"/>
      <c r="AO265" s="295"/>
      <c r="AP265" s="295"/>
      <c r="AQ265" s="295"/>
      <c r="AR265" s="295"/>
      <c r="AS265" s="295"/>
      <c r="AT265" s="295"/>
      <c r="AU265" s="295"/>
      <c r="AV265" s="295"/>
      <c r="AW265" s="295"/>
      <c r="AX265" s="295"/>
      <c r="AY265" s="295"/>
      <c r="AZ265" s="295"/>
      <c r="BA265" s="295"/>
      <c r="BB265" s="295"/>
      <c r="BC265" s="295"/>
      <c r="BD265" s="295"/>
      <c r="BE265" s="295"/>
      <c r="BF265" s="295"/>
      <c r="BG265" s="295"/>
      <c r="BH265" s="295"/>
      <c r="BI265" s="295"/>
      <c r="BJ265" s="295"/>
      <c r="BK265" s="295"/>
      <c r="BL265" s="295"/>
      <c r="BM265" s="295"/>
      <c r="BN265" s="295"/>
      <c r="BO265" s="295"/>
      <c r="BP265" s="295"/>
      <c r="BQ265" s="295"/>
      <c r="BR265" s="295"/>
      <c r="BS265" s="295"/>
      <c r="BT265" s="295"/>
      <c r="BU265" s="295"/>
      <c r="BV265" s="295"/>
      <c r="BW265" s="295"/>
      <c r="BX265" s="295"/>
      <c r="BY265" s="295"/>
      <c r="BZ265" s="295"/>
      <c r="CA265" s="295"/>
      <c r="CB265" s="295"/>
      <c r="CC265" s="295"/>
      <c r="CD265" s="295"/>
      <c r="CE265" s="295"/>
      <c r="CF265" s="295"/>
      <c r="CG265" s="295"/>
      <c r="CH265" s="295"/>
      <c r="CI265" s="295"/>
      <c r="CJ265" s="295"/>
      <c r="CK265" s="295"/>
      <c r="CL265" s="295"/>
      <c r="CM265" s="295"/>
      <c r="CN265" s="295"/>
      <c r="CO265" s="295"/>
      <c r="CP265" s="295"/>
      <c r="CQ265" s="295"/>
      <c r="CR265" s="295"/>
      <c r="CS265" s="295"/>
      <c r="CT265" s="295"/>
      <c r="CU265" s="295"/>
      <c r="CV265" s="295"/>
      <c r="CW265" s="295"/>
      <c r="CX265" s="295"/>
      <c r="CY265" s="295"/>
      <c r="CZ265" s="295"/>
      <c r="DA265" s="295"/>
      <c r="DB265" s="295"/>
      <c r="DC265" s="295"/>
      <c r="DD265" s="295"/>
      <c r="DE265" s="295"/>
      <c r="DF265" s="295"/>
      <c r="DG265" s="295"/>
      <c r="DH265" s="295"/>
      <c r="DI265" s="295"/>
      <c r="DJ265" s="295"/>
      <c r="DK265" s="295"/>
      <c r="DL265" s="295"/>
      <c r="DM265" s="295"/>
      <c r="DN265" s="295"/>
      <c r="DO265" s="295"/>
      <c r="DP265" s="295"/>
      <c r="DQ265" s="295"/>
      <c r="DR265" s="295"/>
      <c r="DS265" s="295"/>
      <c r="DT265" s="295"/>
      <c r="DU265" s="295"/>
      <c r="DV265" s="295"/>
      <c r="DW265" s="295"/>
      <c r="DX265" s="295"/>
      <c r="DY265" s="295"/>
      <c r="DZ265" s="295"/>
    </row>
    <row r="266" spans="1:130" s="528" customFormat="1" ht="39" hidden="1" customHeight="1">
      <c r="A266" s="2590"/>
      <c r="B266" s="2648" t="s">
        <v>2703</v>
      </c>
      <c r="C266" s="2591"/>
      <c r="D266" s="512" t="s">
        <v>246</v>
      </c>
      <c r="E266" s="513"/>
      <c r="F266" s="553"/>
      <c r="G266" s="513"/>
      <c r="H266" s="513"/>
      <c r="I266" s="513"/>
      <c r="J266" s="515">
        <v>7.6029999999999998</v>
      </c>
      <c r="K266" s="515">
        <v>7.6029999999999998</v>
      </c>
      <c r="L266" s="513"/>
      <c r="M266" s="513"/>
      <c r="N266" s="2521"/>
      <c r="O266" s="2522"/>
      <c r="P266" s="2488"/>
      <c r="Q266" s="2518"/>
      <c r="R266" s="2509"/>
      <c r="S266" s="2510"/>
      <c r="T266" s="2510"/>
      <c r="U266" s="2511"/>
      <c r="V266" s="218"/>
      <c r="W266" s="2518"/>
      <c r="Y266" s="295"/>
      <c r="Z266" s="295"/>
      <c r="AA266" s="295"/>
      <c r="AB266" s="295"/>
      <c r="AC266" s="295"/>
      <c r="AD266" s="295"/>
      <c r="AE266" s="295"/>
      <c r="AF266" s="295"/>
      <c r="AG266" s="295"/>
      <c r="AH266" s="295"/>
      <c r="AI266" s="295"/>
      <c r="AJ266" s="295"/>
      <c r="AK266" s="295"/>
      <c r="AL266" s="295"/>
      <c r="AM266" s="295"/>
      <c r="AN266" s="295"/>
      <c r="AO266" s="295"/>
      <c r="AP266" s="295"/>
      <c r="AQ266" s="295"/>
      <c r="AR266" s="295"/>
      <c r="AS266" s="295"/>
      <c r="AT266" s="295"/>
      <c r="AU266" s="295"/>
      <c r="AV266" s="295"/>
      <c r="AW266" s="295"/>
      <c r="AX266" s="295"/>
      <c r="AY266" s="295"/>
      <c r="AZ266" s="295"/>
      <c r="BA266" s="295"/>
      <c r="BB266" s="295"/>
      <c r="BC266" s="295"/>
      <c r="BD266" s="295"/>
      <c r="BE266" s="295"/>
      <c r="BF266" s="295"/>
      <c r="BG266" s="295"/>
      <c r="BH266" s="295"/>
      <c r="BI266" s="295"/>
      <c r="BJ266" s="295"/>
      <c r="BK266" s="295"/>
      <c r="BL266" s="295"/>
      <c r="BM266" s="295"/>
      <c r="BN266" s="295"/>
      <c r="BO266" s="295"/>
      <c r="BP266" s="295"/>
      <c r="BQ266" s="295"/>
      <c r="BR266" s="295"/>
      <c r="BS266" s="295"/>
      <c r="BT266" s="295"/>
      <c r="BU266" s="295"/>
      <c r="BV266" s="295"/>
      <c r="BW266" s="295"/>
      <c r="BX266" s="295"/>
      <c r="BY266" s="295"/>
      <c r="BZ266" s="295"/>
      <c r="CA266" s="295"/>
      <c r="CB266" s="295"/>
      <c r="CC266" s="295"/>
      <c r="CD266" s="295"/>
      <c r="CE266" s="295"/>
      <c r="CF266" s="295"/>
      <c r="CG266" s="295"/>
      <c r="CH266" s="295"/>
      <c r="CI266" s="295"/>
      <c r="CJ266" s="295"/>
      <c r="CK266" s="295"/>
      <c r="CL266" s="295"/>
      <c r="CM266" s="295"/>
      <c r="CN266" s="295"/>
      <c r="CO266" s="295"/>
      <c r="CP266" s="295"/>
      <c r="CQ266" s="295"/>
      <c r="CR266" s="295"/>
      <c r="CS266" s="295"/>
      <c r="CT266" s="295"/>
      <c r="CU266" s="295"/>
      <c r="CV266" s="295"/>
      <c r="CW266" s="295"/>
      <c r="CX266" s="295"/>
      <c r="CY266" s="295"/>
      <c r="CZ266" s="295"/>
      <c r="DA266" s="295"/>
      <c r="DB266" s="295"/>
      <c r="DC266" s="295"/>
      <c r="DD266" s="295"/>
      <c r="DE266" s="295"/>
      <c r="DF266" s="295"/>
      <c r="DG266" s="295"/>
      <c r="DH266" s="295"/>
      <c r="DI266" s="295"/>
      <c r="DJ266" s="295"/>
      <c r="DK266" s="295"/>
      <c r="DL266" s="295"/>
      <c r="DM266" s="295"/>
      <c r="DN266" s="295"/>
      <c r="DO266" s="295"/>
      <c r="DP266" s="295"/>
      <c r="DQ266" s="295"/>
      <c r="DR266" s="295"/>
      <c r="DS266" s="295"/>
      <c r="DT266" s="295"/>
      <c r="DU266" s="295"/>
      <c r="DV266" s="295"/>
      <c r="DW266" s="295"/>
      <c r="DX266" s="295"/>
      <c r="DY266" s="295"/>
      <c r="DZ266" s="295"/>
    </row>
    <row r="267" spans="1:130" s="528" customFormat="1" ht="39" hidden="1" customHeight="1">
      <c r="A267" s="2586"/>
      <c r="B267" s="2649"/>
      <c r="C267" s="2588"/>
      <c r="D267" s="512" t="s">
        <v>413</v>
      </c>
      <c r="E267" s="513"/>
      <c r="F267" s="553"/>
      <c r="G267" s="513"/>
      <c r="H267" s="513"/>
      <c r="I267" s="513"/>
      <c r="J267" s="515">
        <v>2.6269999999999998</v>
      </c>
      <c r="K267" s="515">
        <v>2.6269999999999998</v>
      </c>
      <c r="L267" s="513"/>
      <c r="M267" s="513"/>
      <c r="N267" s="2523"/>
      <c r="O267" s="2524"/>
      <c r="P267" s="2488"/>
      <c r="Q267" s="2519"/>
      <c r="R267" s="2512"/>
      <c r="S267" s="2513"/>
      <c r="T267" s="2513"/>
      <c r="U267" s="2514"/>
      <c r="V267" s="218"/>
      <c r="W267" s="2519"/>
      <c r="Y267" s="295"/>
      <c r="Z267" s="295"/>
      <c r="AA267" s="295"/>
      <c r="AB267" s="295"/>
      <c r="AC267" s="295"/>
      <c r="AD267" s="295"/>
      <c r="AE267" s="295"/>
      <c r="AF267" s="295"/>
      <c r="AG267" s="295"/>
      <c r="AH267" s="295"/>
      <c r="AI267" s="295"/>
      <c r="AJ267" s="295"/>
      <c r="AK267" s="295"/>
      <c r="AL267" s="295"/>
      <c r="AM267" s="295"/>
      <c r="AN267" s="295"/>
      <c r="AO267" s="295"/>
      <c r="AP267" s="295"/>
      <c r="AQ267" s="295"/>
      <c r="AR267" s="295"/>
      <c r="AS267" s="295"/>
      <c r="AT267" s="295"/>
      <c r="AU267" s="295"/>
      <c r="AV267" s="295"/>
      <c r="AW267" s="295"/>
      <c r="AX267" s="295"/>
      <c r="AY267" s="295"/>
      <c r="AZ267" s="295"/>
      <c r="BA267" s="295"/>
      <c r="BB267" s="295"/>
      <c r="BC267" s="295"/>
      <c r="BD267" s="295"/>
      <c r="BE267" s="295"/>
      <c r="BF267" s="295"/>
      <c r="BG267" s="295"/>
      <c r="BH267" s="295"/>
      <c r="BI267" s="295"/>
      <c r="BJ267" s="295"/>
      <c r="BK267" s="295"/>
      <c r="BL267" s="295"/>
      <c r="BM267" s="295"/>
      <c r="BN267" s="295"/>
      <c r="BO267" s="295"/>
      <c r="BP267" s="295"/>
      <c r="BQ267" s="295"/>
      <c r="BR267" s="295"/>
      <c r="BS267" s="295"/>
      <c r="BT267" s="295"/>
      <c r="BU267" s="295"/>
      <c r="BV267" s="295"/>
      <c r="BW267" s="295"/>
      <c r="BX267" s="295"/>
      <c r="BY267" s="295"/>
      <c r="BZ267" s="295"/>
      <c r="CA267" s="295"/>
      <c r="CB267" s="295"/>
      <c r="CC267" s="295"/>
      <c r="CD267" s="295"/>
      <c r="CE267" s="295"/>
      <c r="CF267" s="295"/>
      <c r="CG267" s="295"/>
      <c r="CH267" s="295"/>
      <c r="CI267" s="295"/>
      <c r="CJ267" s="295"/>
      <c r="CK267" s="295"/>
      <c r="CL267" s="295"/>
      <c r="CM267" s="295"/>
      <c r="CN267" s="295"/>
      <c r="CO267" s="295"/>
      <c r="CP267" s="295"/>
      <c r="CQ267" s="295"/>
      <c r="CR267" s="295"/>
      <c r="CS267" s="295"/>
      <c r="CT267" s="295"/>
      <c r="CU267" s="295"/>
      <c r="CV267" s="295"/>
      <c r="CW267" s="295"/>
      <c r="CX267" s="295"/>
      <c r="CY267" s="295"/>
      <c r="CZ267" s="295"/>
      <c r="DA267" s="295"/>
      <c r="DB267" s="295"/>
      <c r="DC267" s="295"/>
      <c r="DD267" s="295"/>
      <c r="DE267" s="295"/>
      <c r="DF267" s="295"/>
      <c r="DG267" s="295"/>
      <c r="DH267" s="295"/>
      <c r="DI267" s="295"/>
      <c r="DJ267" s="295"/>
      <c r="DK267" s="295"/>
      <c r="DL267" s="295"/>
      <c r="DM267" s="295"/>
      <c r="DN267" s="295"/>
      <c r="DO267" s="295"/>
      <c r="DP267" s="295"/>
      <c r="DQ267" s="295"/>
      <c r="DR267" s="295"/>
      <c r="DS267" s="295"/>
      <c r="DT267" s="295"/>
      <c r="DU267" s="295"/>
      <c r="DV267" s="295"/>
      <c r="DW267" s="295"/>
      <c r="DX267" s="295"/>
      <c r="DY267" s="295"/>
      <c r="DZ267" s="295"/>
    </row>
    <row r="268" spans="1:130" s="528" customFormat="1" ht="39" hidden="1" customHeight="1">
      <c r="A268" s="2586"/>
      <c r="B268" s="2649"/>
      <c r="C268" s="2588"/>
      <c r="D268" s="512" t="s">
        <v>2928</v>
      </c>
      <c r="E268" s="513"/>
      <c r="F268" s="553"/>
      <c r="G268" s="513"/>
      <c r="H268" s="513"/>
      <c r="I268" s="513"/>
      <c r="J268" s="515">
        <v>0</v>
      </c>
      <c r="K268" s="513"/>
      <c r="L268" s="513"/>
      <c r="M268" s="513"/>
      <c r="N268" s="2523"/>
      <c r="O268" s="2524"/>
      <c r="P268" s="2488"/>
      <c r="Q268" s="2519"/>
      <c r="R268" s="2512"/>
      <c r="S268" s="2513"/>
      <c r="T268" s="2513"/>
      <c r="U268" s="2514"/>
      <c r="V268" s="218"/>
      <c r="W268" s="2519"/>
      <c r="Y268" s="295"/>
      <c r="Z268" s="295"/>
      <c r="AA268" s="295"/>
      <c r="AB268" s="295"/>
      <c r="AC268" s="295"/>
      <c r="AD268" s="295"/>
      <c r="AE268" s="295"/>
      <c r="AF268" s="295"/>
      <c r="AG268" s="295"/>
      <c r="AH268" s="295"/>
      <c r="AI268" s="295"/>
      <c r="AJ268" s="295"/>
      <c r="AK268" s="295"/>
      <c r="AL268" s="295"/>
      <c r="AM268" s="295"/>
      <c r="AN268" s="295"/>
      <c r="AO268" s="295"/>
      <c r="AP268" s="295"/>
      <c r="AQ268" s="295"/>
      <c r="AR268" s="295"/>
      <c r="AS268" s="295"/>
      <c r="AT268" s="295"/>
      <c r="AU268" s="295"/>
      <c r="AV268" s="295"/>
      <c r="AW268" s="295"/>
      <c r="AX268" s="295"/>
      <c r="AY268" s="295"/>
      <c r="AZ268" s="295"/>
      <c r="BA268" s="295"/>
      <c r="BB268" s="295"/>
      <c r="BC268" s="295"/>
      <c r="BD268" s="295"/>
      <c r="BE268" s="295"/>
      <c r="BF268" s="295"/>
      <c r="BG268" s="295"/>
      <c r="BH268" s="295"/>
      <c r="BI268" s="295"/>
      <c r="BJ268" s="295"/>
      <c r="BK268" s="295"/>
      <c r="BL268" s="295"/>
      <c r="BM268" s="295"/>
      <c r="BN268" s="295"/>
      <c r="BO268" s="295"/>
      <c r="BP268" s="295"/>
      <c r="BQ268" s="295"/>
      <c r="BR268" s="295"/>
      <c r="BS268" s="295"/>
      <c r="BT268" s="295"/>
      <c r="BU268" s="295"/>
      <c r="BV268" s="295"/>
      <c r="BW268" s="295"/>
      <c r="BX268" s="295"/>
      <c r="BY268" s="295"/>
      <c r="BZ268" s="295"/>
      <c r="CA268" s="295"/>
      <c r="CB268" s="295"/>
      <c r="CC268" s="295"/>
      <c r="CD268" s="295"/>
      <c r="CE268" s="295"/>
      <c r="CF268" s="295"/>
      <c r="CG268" s="295"/>
      <c r="CH268" s="295"/>
      <c r="CI268" s="295"/>
      <c r="CJ268" s="295"/>
      <c r="CK268" s="295"/>
      <c r="CL268" s="295"/>
      <c r="CM268" s="295"/>
      <c r="CN268" s="295"/>
      <c r="CO268" s="295"/>
      <c r="CP268" s="295"/>
      <c r="CQ268" s="295"/>
      <c r="CR268" s="295"/>
      <c r="CS268" s="295"/>
      <c r="CT268" s="295"/>
      <c r="CU268" s="295"/>
      <c r="CV268" s="295"/>
      <c r="CW268" s="295"/>
      <c r="CX268" s="295"/>
      <c r="CY268" s="295"/>
      <c r="CZ268" s="295"/>
      <c r="DA268" s="295"/>
      <c r="DB268" s="295"/>
      <c r="DC268" s="295"/>
      <c r="DD268" s="295"/>
      <c r="DE268" s="295"/>
      <c r="DF268" s="295"/>
      <c r="DG268" s="295"/>
      <c r="DH268" s="295"/>
      <c r="DI268" s="295"/>
      <c r="DJ268" s="295"/>
      <c r="DK268" s="295"/>
      <c r="DL268" s="295"/>
      <c r="DM268" s="295"/>
      <c r="DN268" s="295"/>
      <c r="DO268" s="295"/>
      <c r="DP268" s="295"/>
      <c r="DQ268" s="295"/>
      <c r="DR268" s="295"/>
      <c r="DS268" s="295"/>
      <c r="DT268" s="295"/>
      <c r="DU268" s="295"/>
      <c r="DV268" s="295"/>
      <c r="DW268" s="295"/>
      <c r="DX268" s="295"/>
      <c r="DY268" s="295"/>
      <c r="DZ268" s="295"/>
    </row>
    <row r="269" spans="1:130" s="528" customFormat="1" ht="39" hidden="1" customHeight="1">
      <c r="A269" s="2586"/>
      <c r="B269" s="2649"/>
      <c r="C269" s="2588"/>
      <c r="D269" s="512" t="s">
        <v>3867</v>
      </c>
      <c r="E269" s="513"/>
      <c r="F269" s="553"/>
      <c r="G269" s="513"/>
      <c r="H269" s="513"/>
      <c r="I269" s="513"/>
      <c r="J269" s="515">
        <v>0</v>
      </c>
      <c r="K269" s="513"/>
      <c r="L269" s="513"/>
      <c r="M269" s="513"/>
      <c r="N269" s="2523"/>
      <c r="O269" s="2524"/>
      <c r="P269" s="2488"/>
      <c r="Q269" s="2519"/>
      <c r="R269" s="2512"/>
      <c r="S269" s="2513"/>
      <c r="T269" s="2513"/>
      <c r="U269" s="2514"/>
      <c r="V269" s="218"/>
      <c r="W269" s="2519"/>
      <c r="Y269" s="295"/>
      <c r="Z269" s="295"/>
      <c r="AA269" s="295"/>
      <c r="AB269" s="295"/>
      <c r="AC269" s="295"/>
      <c r="AD269" s="295"/>
      <c r="AE269" s="295"/>
      <c r="AF269" s="295"/>
      <c r="AG269" s="295"/>
      <c r="AH269" s="295"/>
      <c r="AI269" s="295"/>
      <c r="AJ269" s="295"/>
      <c r="AK269" s="295"/>
      <c r="AL269" s="295"/>
      <c r="AM269" s="295"/>
      <c r="AN269" s="295"/>
      <c r="AO269" s="295"/>
      <c r="AP269" s="295"/>
      <c r="AQ269" s="295"/>
      <c r="AR269" s="295"/>
      <c r="AS269" s="295"/>
      <c r="AT269" s="295"/>
      <c r="AU269" s="295"/>
      <c r="AV269" s="295"/>
      <c r="AW269" s="295"/>
      <c r="AX269" s="295"/>
      <c r="AY269" s="295"/>
      <c r="AZ269" s="295"/>
      <c r="BA269" s="295"/>
      <c r="BB269" s="295"/>
      <c r="BC269" s="295"/>
      <c r="BD269" s="295"/>
      <c r="BE269" s="295"/>
      <c r="BF269" s="295"/>
      <c r="BG269" s="295"/>
      <c r="BH269" s="295"/>
      <c r="BI269" s="295"/>
      <c r="BJ269" s="295"/>
      <c r="BK269" s="295"/>
      <c r="BL269" s="295"/>
      <c r="BM269" s="295"/>
      <c r="BN269" s="295"/>
      <c r="BO269" s="295"/>
      <c r="BP269" s="295"/>
      <c r="BQ269" s="295"/>
      <c r="BR269" s="295"/>
      <c r="BS269" s="295"/>
      <c r="BT269" s="295"/>
      <c r="BU269" s="295"/>
      <c r="BV269" s="295"/>
      <c r="BW269" s="295"/>
      <c r="BX269" s="295"/>
      <c r="BY269" s="295"/>
      <c r="BZ269" s="295"/>
      <c r="CA269" s="295"/>
      <c r="CB269" s="295"/>
      <c r="CC269" s="295"/>
      <c r="CD269" s="295"/>
      <c r="CE269" s="295"/>
      <c r="CF269" s="295"/>
      <c r="CG269" s="295"/>
      <c r="CH269" s="295"/>
      <c r="CI269" s="295"/>
      <c r="CJ269" s="295"/>
      <c r="CK269" s="295"/>
      <c r="CL269" s="295"/>
      <c r="CM269" s="295"/>
      <c r="CN269" s="295"/>
      <c r="CO269" s="295"/>
      <c r="CP269" s="295"/>
      <c r="CQ269" s="295"/>
      <c r="CR269" s="295"/>
      <c r="CS269" s="295"/>
      <c r="CT269" s="295"/>
      <c r="CU269" s="295"/>
      <c r="CV269" s="295"/>
      <c r="CW269" s="295"/>
      <c r="CX269" s="295"/>
      <c r="CY269" s="295"/>
      <c r="CZ269" s="295"/>
      <c r="DA269" s="295"/>
      <c r="DB269" s="295"/>
      <c r="DC269" s="295"/>
      <c r="DD269" s="295"/>
      <c r="DE269" s="295"/>
      <c r="DF269" s="295"/>
      <c r="DG269" s="295"/>
      <c r="DH269" s="295"/>
      <c r="DI269" s="295"/>
      <c r="DJ269" s="295"/>
      <c r="DK269" s="295"/>
      <c r="DL269" s="295"/>
      <c r="DM269" s="295"/>
      <c r="DN269" s="295"/>
      <c r="DO269" s="295"/>
      <c r="DP269" s="295"/>
      <c r="DQ269" s="295"/>
      <c r="DR269" s="295"/>
      <c r="DS269" s="295"/>
      <c r="DT269" s="295"/>
      <c r="DU269" s="295"/>
      <c r="DV269" s="295"/>
      <c r="DW269" s="295"/>
      <c r="DX269" s="295"/>
      <c r="DY269" s="295"/>
      <c r="DZ269" s="295"/>
    </row>
    <row r="270" spans="1:130" s="528" customFormat="1" ht="39" hidden="1" customHeight="1">
      <c r="A270" s="2587"/>
      <c r="B270" s="2650"/>
      <c r="C270" s="2589"/>
      <c r="D270" s="752" t="s">
        <v>3864</v>
      </c>
      <c r="E270" s="753"/>
      <c r="F270" s="755"/>
      <c r="G270" s="753"/>
      <c r="H270" s="753"/>
      <c r="I270" s="753"/>
      <c r="J270" s="754">
        <f>SUM(J266,J267,J268,J269)</f>
        <v>10.23</v>
      </c>
      <c r="K270" s="753">
        <f>SUM(K266,K267,K268,K269)</f>
        <v>10.23</v>
      </c>
      <c r="L270" s="753">
        <f t="shared" ref="L270" si="109">SUM(L266,L267,L268,L269)</f>
        <v>0</v>
      </c>
      <c r="M270" s="753">
        <f t="shared" ref="M270" si="110">SUM(M266,M267,M268,M269)</f>
        <v>0</v>
      </c>
      <c r="N270" s="2525"/>
      <c r="O270" s="2526"/>
      <c r="P270" s="2488"/>
      <c r="Q270" s="2520"/>
      <c r="R270" s="2515"/>
      <c r="S270" s="2516"/>
      <c r="T270" s="2516"/>
      <c r="U270" s="2517"/>
      <c r="V270" s="218"/>
      <c r="W270" s="2520"/>
      <c r="Y270" s="295"/>
      <c r="Z270" s="295"/>
      <c r="AA270" s="295"/>
      <c r="AB270" s="295"/>
      <c r="AC270" s="295"/>
      <c r="AD270" s="295"/>
      <c r="AE270" s="295"/>
      <c r="AF270" s="295"/>
      <c r="AG270" s="295"/>
      <c r="AH270" s="295"/>
      <c r="AI270" s="295"/>
      <c r="AJ270" s="295"/>
      <c r="AK270" s="295"/>
      <c r="AL270" s="295"/>
      <c r="AM270" s="295"/>
      <c r="AN270" s="295"/>
      <c r="AO270" s="295"/>
      <c r="AP270" s="295"/>
      <c r="AQ270" s="295"/>
      <c r="AR270" s="295"/>
      <c r="AS270" s="295"/>
      <c r="AT270" s="295"/>
      <c r="AU270" s="295"/>
      <c r="AV270" s="295"/>
      <c r="AW270" s="295"/>
      <c r="AX270" s="295"/>
      <c r="AY270" s="295"/>
      <c r="AZ270" s="295"/>
      <c r="BA270" s="295"/>
      <c r="BB270" s="295"/>
      <c r="BC270" s="295"/>
      <c r="BD270" s="295"/>
      <c r="BE270" s="295"/>
      <c r="BF270" s="295"/>
      <c r="BG270" s="295"/>
      <c r="BH270" s="295"/>
      <c r="BI270" s="295"/>
      <c r="BJ270" s="295"/>
      <c r="BK270" s="295"/>
      <c r="BL270" s="295"/>
      <c r="BM270" s="295"/>
      <c r="BN270" s="295"/>
      <c r="BO270" s="295"/>
      <c r="BP270" s="295"/>
      <c r="BQ270" s="295"/>
      <c r="BR270" s="295"/>
      <c r="BS270" s="295"/>
      <c r="BT270" s="295"/>
      <c r="BU270" s="295"/>
      <c r="BV270" s="295"/>
      <c r="BW270" s="295"/>
      <c r="BX270" s="295"/>
      <c r="BY270" s="295"/>
      <c r="BZ270" s="295"/>
      <c r="CA270" s="295"/>
      <c r="CB270" s="295"/>
      <c r="CC270" s="295"/>
      <c r="CD270" s="295"/>
      <c r="CE270" s="295"/>
      <c r="CF270" s="295"/>
      <c r="CG270" s="295"/>
      <c r="CH270" s="295"/>
      <c r="CI270" s="295"/>
      <c r="CJ270" s="295"/>
      <c r="CK270" s="295"/>
      <c r="CL270" s="295"/>
      <c r="CM270" s="295"/>
      <c r="CN270" s="295"/>
      <c r="CO270" s="295"/>
      <c r="CP270" s="295"/>
      <c r="CQ270" s="295"/>
      <c r="CR270" s="295"/>
      <c r="CS270" s="295"/>
      <c r="CT270" s="295"/>
      <c r="CU270" s="295"/>
      <c r="CV270" s="295"/>
      <c r="CW270" s="295"/>
      <c r="CX270" s="295"/>
      <c r="CY270" s="295"/>
      <c r="CZ270" s="295"/>
      <c r="DA270" s="295"/>
      <c r="DB270" s="295"/>
      <c r="DC270" s="295"/>
      <c r="DD270" s="295"/>
      <c r="DE270" s="295"/>
      <c r="DF270" s="295"/>
      <c r="DG270" s="295"/>
      <c r="DH270" s="295"/>
      <c r="DI270" s="295"/>
      <c r="DJ270" s="295"/>
      <c r="DK270" s="295"/>
      <c r="DL270" s="295"/>
      <c r="DM270" s="295"/>
      <c r="DN270" s="295"/>
      <c r="DO270" s="295"/>
      <c r="DP270" s="295"/>
      <c r="DQ270" s="295"/>
      <c r="DR270" s="295"/>
      <c r="DS270" s="295"/>
      <c r="DT270" s="295"/>
      <c r="DU270" s="295"/>
      <c r="DV270" s="295"/>
      <c r="DW270" s="295"/>
      <c r="DX270" s="295"/>
      <c r="DY270" s="295"/>
      <c r="DZ270" s="295"/>
    </row>
    <row r="271" spans="1:130" ht="39" customHeight="1">
      <c r="A271" s="2565" t="s">
        <v>3046</v>
      </c>
      <c r="B271" s="2575" t="s">
        <v>4256</v>
      </c>
      <c r="C271" s="2568">
        <v>188711925</v>
      </c>
      <c r="D271" s="299" t="s">
        <v>2928</v>
      </c>
      <c r="E271" s="225">
        <v>100</v>
      </c>
      <c r="F271" s="318">
        <f>H271/E271-1</f>
        <v>1.3018999999999998</v>
      </c>
      <c r="G271" s="225">
        <v>214.43</v>
      </c>
      <c r="H271" s="225">
        <v>230.19</v>
      </c>
      <c r="I271" s="510">
        <f t="shared" ref="I271:I279" si="111">K271/H271-1</f>
        <v>-1</v>
      </c>
      <c r="J271" s="230"/>
      <c r="K271" s="225"/>
      <c r="L271" s="225"/>
      <c r="M271" s="225"/>
      <c r="N271" s="2490" t="s">
        <v>2289</v>
      </c>
      <c r="O271" s="2395" t="s">
        <v>4257</v>
      </c>
      <c r="P271" s="2488"/>
      <c r="Q271" s="2475" t="s">
        <v>1662</v>
      </c>
      <c r="R271" s="2342" t="s">
        <v>3885</v>
      </c>
      <c r="S271" s="2475" t="s">
        <v>324</v>
      </c>
      <c r="T271" s="2475" t="s">
        <v>1338</v>
      </c>
      <c r="U271" s="2475" t="s">
        <v>1338</v>
      </c>
      <c r="V271" s="2507" t="s">
        <v>393</v>
      </c>
      <c r="W271" s="2475" t="s">
        <v>2290</v>
      </c>
    </row>
    <row r="272" spans="1:130" ht="39" customHeight="1">
      <c r="A272" s="2565"/>
      <c r="B272" s="2575"/>
      <c r="C272" s="2568"/>
      <c r="D272" s="299" t="s">
        <v>471</v>
      </c>
      <c r="E272" s="225"/>
      <c r="F272" s="318"/>
      <c r="G272" s="225"/>
      <c r="H272" s="225"/>
      <c r="I272" s="510"/>
      <c r="J272" s="230">
        <v>41</v>
      </c>
      <c r="K272" s="225"/>
      <c r="L272" s="225"/>
      <c r="M272" s="225"/>
      <c r="N272" s="2491"/>
      <c r="O272" s="2502"/>
      <c r="P272" s="2488"/>
      <c r="Q272" s="2475"/>
      <c r="R272" s="2342"/>
      <c r="S272" s="2475"/>
      <c r="T272" s="2475"/>
      <c r="U272" s="2475"/>
      <c r="V272" s="2533"/>
      <c r="W272" s="2475"/>
    </row>
    <row r="273" spans="1:24" ht="39" customHeight="1">
      <c r="A273" s="2565"/>
      <c r="B273" s="2575"/>
      <c r="C273" s="2568"/>
      <c r="D273" s="299" t="s">
        <v>246</v>
      </c>
      <c r="E273" s="225"/>
      <c r="F273" s="318"/>
      <c r="G273" s="225"/>
      <c r="H273" s="225"/>
      <c r="I273" s="510"/>
      <c r="J273" s="230">
        <v>182.18899999999999</v>
      </c>
      <c r="K273" s="225">
        <v>182.18899999999999</v>
      </c>
      <c r="L273" s="225">
        <v>227.81100000000001</v>
      </c>
      <c r="M273" s="225">
        <v>0</v>
      </c>
      <c r="N273" s="2491"/>
      <c r="O273" s="2502"/>
      <c r="P273" s="2488"/>
      <c r="Q273" s="2475"/>
      <c r="R273" s="2342"/>
      <c r="S273" s="2475"/>
      <c r="T273" s="2475"/>
      <c r="U273" s="2475"/>
      <c r="V273" s="2533"/>
      <c r="W273" s="2475"/>
    </row>
    <row r="274" spans="1:24" ht="56.25" customHeight="1">
      <c r="A274" s="2565"/>
      <c r="B274" s="2575"/>
      <c r="C274" s="2568"/>
      <c r="D274" s="334" t="s">
        <v>1121</v>
      </c>
      <c r="E274" s="224">
        <f>E271</f>
        <v>100</v>
      </c>
      <c r="F274" s="321">
        <f>H274/E274-1</f>
        <v>1.3018999999999998</v>
      </c>
      <c r="G274" s="224">
        <f>G271</f>
        <v>214.43</v>
      </c>
      <c r="H274" s="224">
        <f>SUM(H271,H272:H273)</f>
        <v>230.19</v>
      </c>
      <c r="I274" s="526">
        <f t="shared" si="111"/>
        <v>-0.20852773795560187</v>
      </c>
      <c r="J274" s="273">
        <f>SUM(J271,J272:J273)</f>
        <v>223.18899999999999</v>
      </c>
      <c r="K274" s="224">
        <f>SUM(K271,K272:K273)</f>
        <v>182.18899999999999</v>
      </c>
      <c r="L274" s="224">
        <f>SUM(L271,L272:L273)</f>
        <v>227.81100000000001</v>
      </c>
      <c r="M274" s="224">
        <f>SUM(M271,M272:M273)</f>
        <v>0</v>
      </c>
      <c r="N274" s="2492"/>
      <c r="O274" s="2503"/>
      <c r="P274" s="2488"/>
      <c r="Q274" s="2475"/>
      <c r="R274" s="2342"/>
      <c r="S274" s="2475"/>
      <c r="T274" s="2475"/>
      <c r="U274" s="2475"/>
      <c r="V274" s="2508"/>
      <c r="W274" s="2475"/>
      <c r="X274" s="346" t="s">
        <v>2783</v>
      </c>
    </row>
    <row r="275" spans="1:24" ht="39" customHeight="1">
      <c r="A275" s="2659" t="s">
        <v>2048</v>
      </c>
      <c r="B275" s="2580" t="s">
        <v>2995</v>
      </c>
      <c r="C275" s="2663" t="s">
        <v>3275</v>
      </c>
      <c r="D275" s="297" t="s">
        <v>2928</v>
      </c>
      <c r="E275" s="225">
        <v>21</v>
      </c>
      <c r="F275" s="318">
        <f>H275/E275-1</f>
        <v>13.74</v>
      </c>
      <c r="G275" s="225">
        <v>185</v>
      </c>
      <c r="H275" s="225">
        <v>309.54000000000002</v>
      </c>
      <c r="I275" s="510">
        <f t="shared" si="111"/>
        <v>-0.20236479937972474</v>
      </c>
      <c r="J275" s="230"/>
      <c r="K275" s="225">
        <f>SUM(K280,K281,K282,K283,K284,)</f>
        <v>246.9</v>
      </c>
      <c r="L275" s="225"/>
      <c r="M275" s="225">
        <v>0</v>
      </c>
      <c r="N275" s="2490" t="s">
        <v>2291</v>
      </c>
      <c r="O275" s="2349" t="s">
        <v>3361</v>
      </c>
      <c r="P275" s="2488"/>
      <c r="Q275" s="2507" t="s">
        <v>1942</v>
      </c>
      <c r="R275" s="2477" t="s">
        <v>3872</v>
      </c>
      <c r="S275" s="284"/>
      <c r="T275" s="2507" t="s">
        <v>433</v>
      </c>
      <c r="U275" s="2507" t="s">
        <v>433</v>
      </c>
      <c r="V275" s="2507" t="s">
        <v>324</v>
      </c>
      <c r="W275" s="2507" t="s">
        <v>2997</v>
      </c>
    </row>
    <row r="276" spans="1:24" ht="39" customHeight="1">
      <c r="A276" s="2660"/>
      <c r="B276" s="2662"/>
      <c r="C276" s="2664"/>
      <c r="D276" s="297" t="s">
        <v>471</v>
      </c>
      <c r="E276" s="225"/>
      <c r="F276" s="318"/>
      <c r="G276" s="225"/>
      <c r="H276" s="225"/>
      <c r="I276" s="510"/>
      <c r="J276" s="230"/>
      <c r="K276" s="225"/>
      <c r="L276" s="225">
        <v>261.08300000000003</v>
      </c>
      <c r="M276" s="225"/>
      <c r="N276" s="2491"/>
      <c r="O276" s="2363"/>
      <c r="P276" s="2488"/>
      <c r="Q276" s="2533"/>
      <c r="R276" s="2478"/>
      <c r="S276" s="284"/>
      <c r="T276" s="2533"/>
      <c r="U276" s="2533"/>
      <c r="V276" s="2533"/>
      <c r="W276" s="2533"/>
    </row>
    <row r="277" spans="1:24" ht="39" customHeight="1">
      <c r="A277" s="2660"/>
      <c r="B277" s="2662"/>
      <c r="C277" s="2664"/>
      <c r="D277" s="297" t="s">
        <v>246</v>
      </c>
      <c r="E277" s="225"/>
      <c r="F277" s="318"/>
      <c r="G277" s="225"/>
      <c r="H277" s="225">
        <v>765</v>
      </c>
      <c r="I277" s="510">
        <f t="shared" si="111"/>
        <v>-1</v>
      </c>
      <c r="J277" s="230"/>
      <c r="K277" s="225"/>
      <c r="L277" s="225"/>
      <c r="M277" s="225"/>
      <c r="N277" s="2491"/>
      <c r="O277" s="2363"/>
      <c r="P277" s="2488"/>
      <c r="Q277" s="2533"/>
      <c r="R277" s="2478"/>
      <c r="S277" s="284"/>
      <c r="T277" s="2533"/>
      <c r="U277" s="2533"/>
      <c r="V277" s="2533"/>
      <c r="W277" s="2533"/>
    </row>
    <row r="278" spans="1:24" ht="39" customHeight="1">
      <c r="A278" s="2660"/>
      <c r="B278" s="2662"/>
      <c r="C278" s="2664"/>
      <c r="D278" s="297" t="s">
        <v>1394</v>
      </c>
      <c r="E278" s="225"/>
      <c r="F278" s="318"/>
      <c r="G278" s="225"/>
      <c r="H278" s="225"/>
      <c r="I278" s="510"/>
      <c r="J278" s="230"/>
      <c r="K278" s="225"/>
      <c r="L278" s="225"/>
      <c r="M278" s="225">
        <f>SUM(M282,M283,M284,M285,M286,)</f>
        <v>108.86799999999999</v>
      </c>
      <c r="N278" s="2491"/>
      <c r="O278" s="2363"/>
      <c r="P278" s="2488"/>
      <c r="Q278" s="2533"/>
      <c r="R278" s="2478"/>
      <c r="S278" s="284"/>
      <c r="T278" s="2533"/>
      <c r="U278" s="2533"/>
      <c r="V278" s="2533"/>
      <c r="W278" s="2533"/>
    </row>
    <row r="279" spans="1:24" ht="39" customHeight="1">
      <c r="A279" s="2661"/>
      <c r="B279" s="2574"/>
      <c r="C279" s="2665"/>
      <c r="D279" s="334" t="s">
        <v>1121</v>
      </c>
      <c r="E279" s="224">
        <f>E273</f>
        <v>0</v>
      </c>
      <c r="F279" s="321" t="e">
        <f>H279/E279-1</f>
        <v>#DIV/0!</v>
      </c>
      <c r="G279" s="224">
        <f>G273</f>
        <v>0</v>
      </c>
      <c r="H279" s="224">
        <f>H275+H277</f>
        <v>1074.54</v>
      </c>
      <c r="I279" s="526">
        <f t="shared" si="111"/>
        <v>-0.54045452007370587</v>
      </c>
      <c r="J279" s="224"/>
      <c r="K279" s="224">
        <f>SUM(K275,K276,K277,K278,K275)</f>
        <v>493.8</v>
      </c>
      <c r="L279" s="224">
        <f t="shared" ref="L279:M279" si="112">SUM(L275,L276,L277,L278,L275)</f>
        <v>261.08300000000003</v>
      </c>
      <c r="M279" s="224">
        <f t="shared" si="112"/>
        <v>108.86799999999999</v>
      </c>
      <c r="N279" s="2492"/>
      <c r="O279" s="2350"/>
      <c r="P279" s="2488"/>
      <c r="Q279" s="2508"/>
      <c r="R279" s="2479"/>
      <c r="S279" s="284"/>
      <c r="T279" s="2508"/>
      <c r="U279" s="2508"/>
      <c r="V279" s="2508"/>
      <c r="W279" s="2508"/>
      <c r="X279" s="346" t="s">
        <v>2783</v>
      </c>
    </row>
    <row r="280" spans="1:24" ht="39" hidden="1" customHeight="1">
      <c r="A280" s="724"/>
      <c r="B280" s="959" t="s">
        <v>3868</v>
      </c>
      <c r="C280" s="2591"/>
      <c r="D280" s="2651" t="s">
        <v>2928</v>
      </c>
      <c r="E280" s="513"/>
      <c r="F280" s="553"/>
      <c r="G280" s="513"/>
      <c r="H280" s="513"/>
      <c r="I280" s="513"/>
      <c r="J280" s="515"/>
      <c r="K280" s="513">
        <v>156.04300000000001</v>
      </c>
      <c r="L280" s="513"/>
      <c r="M280" s="513"/>
      <c r="N280" s="2521"/>
      <c r="O280" s="2522"/>
      <c r="P280" s="2488"/>
      <c r="Q280" s="2509"/>
      <c r="R280" s="2510"/>
      <c r="S280" s="2510"/>
      <c r="T280" s="2510"/>
      <c r="U280" s="2510"/>
      <c r="V280" s="2510"/>
      <c r="W280" s="2511"/>
      <c r="X280" s="346"/>
    </row>
    <row r="281" spans="1:24" ht="39" hidden="1" customHeight="1">
      <c r="A281" s="724"/>
      <c r="B281" s="959" t="s">
        <v>3869</v>
      </c>
      <c r="C281" s="2588"/>
      <c r="D281" s="2652"/>
      <c r="E281" s="513"/>
      <c r="F281" s="553"/>
      <c r="G281" s="513"/>
      <c r="H281" s="513"/>
      <c r="I281" s="513"/>
      <c r="J281" s="515"/>
      <c r="K281" s="513"/>
      <c r="L281" s="513">
        <v>135.81399999999999</v>
      </c>
      <c r="M281" s="513"/>
      <c r="N281" s="2523"/>
      <c r="O281" s="2524"/>
      <c r="P281" s="2488"/>
      <c r="Q281" s="2512"/>
      <c r="R281" s="2513"/>
      <c r="S281" s="2513"/>
      <c r="T281" s="2513"/>
      <c r="U281" s="2513"/>
      <c r="V281" s="2513"/>
      <c r="W281" s="2514"/>
      <c r="X281" s="346"/>
    </row>
    <row r="282" spans="1:24" ht="39" hidden="1" customHeight="1">
      <c r="A282" s="724"/>
      <c r="B282" s="959" t="s">
        <v>3870</v>
      </c>
      <c r="C282" s="2588"/>
      <c r="D282" s="2652"/>
      <c r="E282" s="513"/>
      <c r="F282" s="553"/>
      <c r="G282" s="513"/>
      <c r="H282" s="513"/>
      <c r="I282" s="513"/>
      <c r="J282" s="515"/>
      <c r="K282" s="513">
        <v>90.856999999999999</v>
      </c>
      <c r="L282" s="513"/>
      <c r="M282" s="513"/>
      <c r="N282" s="2523"/>
      <c r="O282" s="2524"/>
      <c r="P282" s="2488"/>
      <c r="Q282" s="2512"/>
      <c r="R282" s="2513"/>
      <c r="S282" s="2513"/>
      <c r="T282" s="2513"/>
      <c r="U282" s="2513"/>
      <c r="V282" s="2513"/>
      <c r="W282" s="2514"/>
      <c r="X282" s="346"/>
    </row>
    <row r="283" spans="1:24" ht="39" hidden="1" customHeight="1">
      <c r="A283" s="724"/>
      <c r="B283" s="959" t="s">
        <v>3871</v>
      </c>
      <c r="C283" s="2588"/>
      <c r="D283" s="2652"/>
      <c r="E283" s="513"/>
      <c r="F283" s="553"/>
      <c r="G283" s="513"/>
      <c r="H283" s="513"/>
      <c r="I283" s="513"/>
      <c r="J283" s="515"/>
      <c r="K283" s="513"/>
      <c r="L283" s="513">
        <v>125.26900000000001</v>
      </c>
      <c r="M283" s="513"/>
      <c r="N283" s="2523"/>
      <c r="O283" s="2524"/>
      <c r="P283" s="2488"/>
      <c r="Q283" s="2512"/>
      <c r="R283" s="2513"/>
      <c r="S283" s="2513"/>
      <c r="T283" s="2513"/>
      <c r="U283" s="2513"/>
      <c r="V283" s="2513"/>
      <c r="W283" s="2514"/>
      <c r="X283" s="346"/>
    </row>
    <row r="284" spans="1:24" ht="39" hidden="1" customHeight="1">
      <c r="A284" s="724"/>
      <c r="B284" s="959" t="s">
        <v>3870</v>
      </c>
      <c r="C284" s="2589"/>
      <c r="D284" s="2653"/>
      <c r="E284" s="513"/>
      <c r="F284" s="553"/>
      <c r="G284" s="513"/>
      <c r="H284" s="513"/>
      <c r="I284" s="513"/>
      <c r="J284" s="515"/>
      <c r="K284" s="513"/>
      <c r="L284" s="513"/>
      <c r="M284" s="513">
        <v>108.86799999999999</v>
      </c>
      <c r="N284" s="2525"/>
      <c r="O284" s="2526"/>
      <c r="P284" s="2488"/>
      <c r="Q284" s="2515"/>
      <c r="R284" s="2516"/>
      <c r="S284" s="2516"/>
      <c r="T284" s="2516"/>
      <c r="U284" s="2516"/>
      <c r="V284" s="2516"/>
      <c r="W284" s="2517"/>
      <c r="X284" s="346"/>
    </row>
    <row r="285" spans="1:24" ht="39" customHeight="1">
      <c r="A285" s="2565" t="s">
        <v>2049</v>
      </c>
      <c r="B285" s="2575" t="s">
        <v>2996</v>
      </c>
      <c r="C285" s="2568" t="s">
        <v>3275</v>
      </c>
      <c r="D285" s="297" t="s">
        <v>2928</v>
      </c>
      <c r="E285" s="225">
        <v>12.038</v>
      </c>
      <c r="F285" s="318">
        <f>H285/E285-1</f>
        <v>8.107077587639143</v>
      </c>
      <c r="G285" s="225">
        <v>81.590999999999994</v>
      </c>
      <c r="H285" s="225">
        <v>109.631</v>
      </c>
      <c r="I285" s="510">
        <f t="shared" ref="I285:I287" si="113">K285/H285-1</f>
        <v>4.3214601709370521</v>
      </c>
      <c r="J285" s="230"/>
      <c r="K285" s="225">
        <f>SUM(K293,K294,K298,K299,K303,K304)</f>
        <v>583.39699999999993</v>
      </c>
      <c r="L285" s="225">
        <f t="shared" ref="L285:M285" si="114">SUM(L293,L298,L299,L303,L304,L294,)</f>
        <v>0</v>
      </c>
      <c r="M285" s="225">
        <f t="shared" si="114"/>
        <v>0</v>
      </c>
      <c r="N285" s="2490" t="s">
        <v>2292</v>
      </c>
      <c r="O285" s="2395" t="s">
        <v>4129</v>
      </c>
      <c r="P285" s="2488"/>
      <c r="Q285" s="2475" t="s">
        <v>1663</v>
      </c>
      <c r="R285" s="2343" t="s">
        <v>4259</v>
      </c>
      <c r="S285" s="284"/>
      <c r="T285" s="2504"/>
      <c r="U285" s="2506" t="s">
        <v>433</v>
      </c>
      <c r="V285" s="2506"/>
      <c r="W285" s="2475" t="s">
        <v>2998</v>
      </c>
    </row>
    <row r="286" spans="1:24" ht="39" customHeight="1">
      <c r="A286" s="2565"/>
      <c r="B286" s="2575"/>
      <c r="C286" s="2568"/>
      <c r="D286" s="297" t="s">
        <v>471</v>
      </c>
      <c r="E286" s="225"/>
      <c r="F286" s="318"/>
      <c r="G286" s="225"/>
      <c r="H286" s="225"/>
      <c r="I286" s="510"/>
      <c r="J286" s="230">
        <f>SUM(J293,J298,J303)</f>
        <v>551.79099999999994</v>
      </c>
      <c r="K286" s="225"/>
      <c r="L286" s="225"/>
      <c r="M286" s="225"/>
      <c r="N286" s="2491"/>
      <c r="O286" s="2395"/>
      <c r="P286" s="2488"/>
      <c r="Q286" s="2475"/>
      <c r="R286" s="2344"/>
      <c r="S286" s="284"/>
      <c r="T286" s="2505"/>
      <c r="U286" s="2506"/>
      <c r="V286" s="2506"/>
      <c r="W286" s="2475"/>
    </row>
    <row r="287" spans="1:24" ht="39" customHeight="1">
      <c r="A287" s="2565"/>
      <c r="B287" s="2575"/>
      <c r="C287" s="2568"/>
      <c r="D287" s="297" t="s">
        <v>246</v>
      </c>
      <c r="E287" s="225"/>
      <c r="F287" s="318"/>
      <c r="G287" s="225">
        <v>292.35000000000002</v>
      </c>
      <c r="H287" s="225">
        <v>292.35000000000002</v>
      </c>
      <c r="I287" s="510">
        <f t="shared" si="113"/>
        <v>1.277236189498888</v>
      </c>
      <c r="J287" s="230">
        <f>SUM(J291,J296,J301)</f>
        <v>509.09499999999997</v>
      </c>
      <c r="K287" s="225">
        <f>SUM(K291,K296,K301)</f>
        <v>665.75</v>
      </c>
      <c r="L287" s="225">
        <f>SUM(L291,L296,L301)</f>
        <v>0</v>
      </c>
      <c r="M287" s="225">
        <f>SUM(M291,M296,M301)</f>
        <v>0</v>
      </c>
      <c r="N287" s="2491"/>
      <c r="O287" s="2395"/>
      <c r="P287" s="2488"/>
      <c r="Q287" s="2475"/>
      <c r="R287" s="947" t="s">
        <v>1943</v>
      </c>
      <c r="S287" s="284"/>
      <c r="T287" s="726"/>
      <c r="U287" s="284" t="s">
        <v>2303</v>
      </c>
      <c r="V287" s="284"/>
      <c r="W287" s="2475"/>
      <c r="X287" s="347" t="s">
        <v>2785</v>
      </c>
    </row>
    <row r="288" spans="1:24" ht="39" customHeight="1">
      <c r="A288" s="2565"/>
      <c r="B288" s="2575"/>
      <c r="C288" s="2568"/>
      <c r="D288" s="2630" t="s">
        <v>1121</v>
      </c>
      <c r="E288" s="2493">
        <f>SUM(E285:E287)</f>
        <v>12.038</v>
      </c>
      <c r="F288" s="2635">
        <f t="shared" ref="F288:F290" si="115">H288/E288-1</f>
        <v>32.392673201528488</v>
      </c>
      <c r="G288" s="2493">
        <f t="shared" ref="G288" si="116">SUM(G285:G287)</f>
        <v>373.94100000000003</v>
      </c>
      <c r="H288" s="2494">
        <f>SUM(H285:H287)</f>
        <v>401.98099999999999</v>
      </c>
      <c r="I288" s="2635">
        <f>K288/H288-1</f>
        <v>2.1074777166084964</v>
      </c>
      <c r="J288" s="2498">
        <f>SUM(J285:J287)</f>
        <v>1060.886</v>
      </c>
      <c r="K288" s="2493">
        <f t="shared" ref="K288:M288" si="117">SUM(K285:K287)</f>
        <v>1249.1469999999999</v>
      </c>
      <c r="L288" s="2493">
        <f t="shared" si="117"/>
        <v>0</v>
      </c>
      <c r="M288" s="2493">
        <f t="shared" si="117"/>
        <v>0</v>
      </c>
      <c r="N288" s="2491"/>
      <c r="O288" s="2395"/>
      <c r="P288" s="2488"/>
      <c r="Q288" s="2475"/>
      <c r="R288" s="947" t="s">
        <v>1944</v>
      </c>
      <c r="S288" s="284"/>
      <c r="T288" s="726"/>
      <c r="U288" s="284" t="s">
        <v>1945</v>
      </c>
      <c r="V288" s="284"/>
      <c r="W288" s="2475"/>
    </row>
    <row r="289" spans="1:130" ht="39" customHeight="1">
      <c r="A289" s="2566"/>
      <c r="B289" s="2575"/>
      <c r="C289" s="2569"/>
      <c r="D289" s="2631"/>
      <c r="E289" s="2494"/>
      <c r="F289" s="2636" t="e">
        <f t="shared" si="115"/>
        <v>#DIV/0!</v>
      </c>
      <c r="G289" s="2494"/>
      <c r="H289" s="2494"/>
      <c r="I289" s="2636"/>
      <c r="J289" s="2499"/>
      <c r="K289" s="2494"/>
      <c r="L289" s="2494"/>
      <c r="M289" s="2494"/>
      <c r="N289" s="2491"/>
      <c r="O289" s="2396"/>
      <c r="P289" s="2488"/>
      <c r="Q289" s="2475"/>
      <c r="R289" s="2343" t="s">
        <v>4258</v>
      </c>
      <c r="S289" s="2477"/>
      <c r="T289" s="2634"/>
      <c r="U289" s="2475" t="s">
        <v>1340</v>
      </c>
      <c r="V289" s="2506"/>
      <c r="W289" s="2475"/>
    </row>
    <row r="290" spans="1:130" ht="39" customHeight="1">
      <c r="A290" s="2566"/>
      <c r="B290" s="2580"/>
      <c r="C290" s="2570"/>
      <c r="D290" s="2657"/>
      <c r="E290" s="2501"/>
      <c r="F290" s="2656" t="e">
        <f t="shared" si="115"/>
        <v>#DIV/0!</v>
      </c>
      <c r="G290" s="2501"/>
      <c r="H290" s="2501"/>
      <c r="I290" s="300"/>
      <c r="J290" s="2500"/>
      <c r="K290" s="2501"/>
      <c r="L290" s="2501"/>
      <c r="M290" s="2501"/>
      <c r="N290" s="2492"/>
      <c r="O290" s="2396"/>
      <c r="P290" s="2488"/>
      <c r="Q290" s="2475"/>
      <c r="R290" s="2344"/>
      <c r="S290" s="2479"/>
      <c r="T290" s="2634"/>
      <c r="U290" s="2475"/>
      <c r="V290" s="2506"/>
      <c r="W290" s="2475"/>
    </row>
    <row r="291" spans="1:130" s="528" customFormat="1" ht="39" hidden="1" customHeight="1">
      <c r="A291" s="2590"/>
      <c r="B291" s="2648" t="s">
        <v>3283</v>
      </c>
      <c r="C291" s="2591"/>
      <c r="D291" s="512" t="s">
        <v>246</v>
      </c>
      <c r="E291" s="513"/>
      <c r="F291" s="553"/>
      <c r="G291" s="513"/>
      <c r="H291" s="513"/>
      <c r="I291" s="513"/>
      <c r="J291" s="515">
        <v>242.755</v>
      </c>
      <c r="K291" s="513">
        <v>395.44</v>
      </c>
      <c r="L291" s="513"/>
      <c r="M291" s="513"/>
      <c r="N291" s="2673"/>
      <c r="O291" s="2674"/>
      <c r="P291" s="2488"/>
      <c r="Q291" s="2518"/>
      <c r="R291" s="2509"/>
      <c r="S291" s="2510"/>
      <c r="T291" s="2510"/>
      <c r="U291" s="2511"/>
      <c r="V291" s="218"/>
      <c r="W291" s="2518"/>
      <c r="Y291" s="295"/>
      <c r="Z291" s="295"/>
      <c r="AA291" s="295"/>
      <c r="AB291" s="295"/>
      <c r="AC291" s="295"/>
      <c r="AD291" s="295"/>
      <c r="AE291" s="295"/>
      <c r="AF291" s="295"/>
      <c r="AG291" s="295"/>
      <c r="AH291" s="295"/>
      <c r="AI291" s="295"/>
      <c r="AJ291" s="295"/>
      <c r="AK291" s="295"/>
      <c r="AL291" s="295"/>
      <c r="AM291" s="295"/>
      <c r="AN291" s="295"/>
      <c r="AO291" s="295"/>
      <c r="AP291" s="295"/>
      <c r="AQ291" s="295"/>
      <c r="AR291" s="295"/>
      <c r="AS291" s="295"/>
      <c r="AT291" s="295"/>
      <c r="AU291" s="295"/>
      <c r="AV291" s="295"/>
      <c r="AW291" s="295"/>
      <c r="AX291" s="295"/>
      <c r="AY291" s="295"/>
      <c r="AZ291" s="295"/>
      <c r="BA291" s="295"/>
      <c r="BB291" s="295"/>
      <c r="BC291" s="295"/>
      <c r="BD291" s="295"/>
      <c r="BE291" s="295"/>
      <c r="BF291" s="295"/>
      <c r="BG291" s="295"/>
      <c r="BH291" s="295"/>
      <c r="BI291" s="295"/>
      <c r="BJ291" s="295"/>
      <c r="BK291" s="295"/>
      <c r="BL291" s="295"/>
      <c r="BM291" s="295"/>
      <c r="BN291" s="295"/>
      <c r="BO291" s="295"/>
      <c r="BP291" s="295"/>
      <c r="BQ291" s="295"/>
      <c r="BR291" s="295"/>
      <c r="BS291" s="295"/>
      <c r="BT291" s="295"/>
      <c r="BU291" s="295"/>
      <c r="BV291" s="295"/>
      <c r="BW291" s="295"/>
      <c r="BX291" s="295"/>
      <c r="BY291" s="295"/>
      <c r="BZ291" s="295"/>
      <c r="CA291" s="295"/>
      <c r="CB291" s="295"/>
      <c r="CC291" s="295"/>
      <c r="CD291" s="295"/>
      <c r="CE291" s="295"/>
      <c r="CF291" s="295"/>
      <c r="CG291" s="295"/>
      <c r="CH291" s="295"/>
      <c r="CI291" s="295"/>
      <c r="CJ291" s="295"/>
      <c r="CK291" s="295"/>
      <c r="CL291" s="295"/>
      <c r="CM291" s="295"/>
      <c r="CN291" s="295"/>
      <c r="CO291" s="295"/>
      <c r="CP291" s="295"/>
      <c r="CQ291" s="295"/>
      <c r="CR291" s="295"/>
      <c r="CS291" s="295"/>
      <c r="CT291" s="295"/>
      <c r="CU291" s="295"/>
      <c r="CV291" s="295"/>
      <c r="CW291" s="295"/>
      <c r="CX291" s="295"/>
      <c r="CY291" s="295"/>
      <c r="CZ291" s="295"/>
      <c r="DA291" s="295"/>
      <c r="DB291" s="295"/>
      <c r="DC291" s="295"/>
      <c r="DD291" s="295"/>
      <c r="DE291" s="295"/>
      <c r="DF291" s="295"/>
      <c r="DG291" s="295"/>
      <c r="DH291" s="295"/>
      <c r="DI291" s="295"/>
      <c r="DJ291" s="295"/>
      <c r="DK291" s="295"/>
      <c r="DL291" s="295"/>
      <c r="DM291" s="295"/>
      <c r="DN291" s="295"/>
      <c r="DO291" s="295"/>
      <c r="DP291" s="295"/>
      <c r="DQ291" s="295"/>
      <c r="DR291" s="295"/>
      <c r="DS291" s="295"/>
      <c r="DT291" s="295"/>
      <c r="DU291" s="295"/>
      <c r="DV291" s="295"/>
      <c r="DW291" s="295"/>
      <c r="DX291" s="295"/>
      <c r="DY291" s="295"/>
      <c r="DZ291" s="295"/>
    </row>
    <row r="292" spans="1:130" s="528" customFormat="1" ht="39" hidden="1" customHeight="1">
      <c r="A292" s="2586"/>
      <c r="B292" s="2649"/>
      <c r="C292" s="2588"/>
      <c r="D292" s="512" t="s">
        <v>413</v>
      </c>
      <c r="E292" s="513"/>
      <c r="F292" s="553"/>
      <c r="G292" s="513"/>
      <c r="H292" s="513"/>
      <c r="I292" s="513"/>
      <c r="J292" s="515"/>
      <c r="K292" s="513"/>
      <c r="L292" s="513"/>
      <c r="M292" s="513"/>
      <c r="N292" s="2675"/>
      <c r="O292" s="2676"/>
      <c r="P292" s="2488"/>
      <c r="Q292" s="2519"/>
      <c r="R292" s="2512"/>
      <c r="S292" s="2513"/>
      <c r="T292" s="2513"/>
      <c r="U292" s="2514"/>
      <c r="V292" s="218"/>
      <c r="W292" s="2519"/>
      <c r="Y292" s="295"/>
      <c r="Z292" s="295"/>
      <c r="AA292" s="295"/>
      <c r="AB292" s="295"/>
      <c r="AC292" s="295"/>
      <c r="AD292" s="295"/>
      <c r="AE292" s="295"/>
      <c r="AF292" s="295"/>
      <c r="AG292" s="295"/>
      <c r="AH292" s="295"/>
      <c r="AI292" s="295"/>
      <c r="AJ292" s="295"/>
      <c r="AK292" s="295"/>
      <c r="AL292" s="295"/>
      <c r="AM292" s="295"/>
      <c r="AN292" s="295"/>
      <c r="AO292" s="295"/>
      <c r="AP292" s="295"/>
      <c r="AQ292" s="295"/>
      <c r="AR292" s="295"/>
      <c r="AS292" s="295"/>
      <c r="AT292" s="295"/>
      <c r="AU292" s="295"/>
      <c r="AV292" s="295"/>
      <c r="AW292" s="295"/>
      <c r="AX292" s="295"/>
      <c r="AY292" s="295"/>
      <c r="AZ292" s="295"/>
      <c r="BA292" s="295"/>
      <c r="BB292" s="295"/>
      <c r="BC292" s="295"/>
      <c r="BD292" s="295"/>
      <c r="BE292" s="295"/>
      <c r="BF292" s="295"/>
      <c r="BG292" s="295"/>
      <c r="BH292" s="295"/>
      <c r="BI292" s="295"/>
      <c r="BJ292" s="295"/>
      <c r="BK292" s="295"/>
      <c r="BL292" s="295"/>
      <c r="BM292" s="295"/>
      <c r="BN292" s="295"/>
      <c r="BO292" s="295"/>
      <c r="BP292" s="295"/>
      <c r="BQ292" s="295"/>
      <c r="BR292" s="295"/>
      <c r="BS292" s="295"/>
      <c r="BT292" s="295"/>
      <c r="BU292" s="295"/>
      <c r="BV292" s="295"/>
      <c r="BW292" s="295"/>
      <c r="BX292" s="295"/>
      <c r="BY292" s="295"/>
      <c r="BZ292" s="295"/>
      <c r="CA292" s="295"/>
      <c r="CB292" s="295"/>
      <c r="CC292" s="295"/>
      <c r="CD292" s="295"/>
      <c r="CE292" s="295"/>
      <c r="CF292" s="295"/>
      <c r="CG292" s="295"/>
      <c r="CH292" s="295"/>
      <c r="CI292" s="295"/>
      <c r="CJ292" s="295"/>
      <c r="CK292" s="295"/>
      <c r="CL292" s="295"/>
      <c r="CM292" s="295"/>
      <c r="CN292" s="295"/>
      <c r="CO292" s="295"/>
      <c r="CP292" s="295"/>
      <c r="CQ292" s="295"/>
      <c r="CR292" s="295"/>
      <c r="CS292" s="295"/>
      <c r="CT292" s="295"/>
      <c r="CU292" s="295"/>
      <c r="CV292" s="295"/>
      <c r="CW292" s="295"/>
      <c r="CX292" s="295"/>
      <c r="CY292" s="295"/>
      <c r="CZ292" s="295"/>
      <c r="DA292" s="295"/>
      <c r="DB292" s="295"/>
      <c r="DC292" s="295"/>
      <c r="DD292" s="295"/>
      <c r="DE292" s="295"/>
      <c r="DF292" s="295"/>
      <c r="DG292" s="295"/>
      <c r="DH292" s="295"/>
      <c r="DI292" s="295"/>
      <c r="DJ292" s="295"/>
      <c r="DK292" s="295"/>
      <c r="DL292" s="295"/>
      <c r="DM292" s="295"/>
      <c r="DN292" s="295"/>
      <c r="DO292" s="295"/>
      <c r="DP292" s="295"/>
      <c r="DQ292" s="295"/>
      <c r="DR292" s="295"/>
      <c r="DS292" s="295"/>
      <c r="DT292" s="295"/>
      <c r="DU292" s="295"/>
      <c r="DV292" s="295"/>
      <c r="DW292" s="295"/>
      <c r="DX292" s="295"/>
      <c r="DY292" s="295"/>
      <c r="DZ292" s="295"/>
    </row>
    <row r="293" spans="1:130" s="528" customFormat="1" ht="39" hidden="1" customHeight="1">
      <c r="A293" s="2586"/>
      <c r="B293" s="2649"/>
      <c r="C293" s="2588"/>
      <c r="D293" s="512" t="s">
        <v>2928</v>
      </c>
      <c r="E293" s="513"/>
      <c r="F293" s="553"/>
      <c r="G293" s="513"/>
      <c r="H293" s="513"/>
      <c r="I293" s="513"/>
      <c r="J293" s="515">
        <v>263.11399999999998</v>
      </c>
      <c r="K293" s="513">
        <v>62.834000000000003</v>
      </c>
      <c r="L293" s="513"/>
      <c r="M293" s="513"/>
      <c r="N293" s="2675"/>
      <c r="O293" s="2676"/>
      <c r="P293" s="2488"/>
      <c r="Q293" s="2519"/>
      <c r="R293" s="2512"/>
      <c r="S293" s="2513"/>
      <c r="T293" s="2513"/>
      <c r="U293" s="2514"/>
      <c r="V293" s="218"/>
      <c r="W293" s="2519"/>
      <c r="Y293" s="295"/>
      <c r="Z293" s="295"/>
      <c r="AA293" s="295"/>
      <c r="AB293" s="295"/>
      <c r="AC293" s="295"/>
      <c r="AD293" s="295"/>
      <c r="AE293" s="295"/>
      <c r="AF293" s="295"/>
      <c r="AG293" s="295"/>
      <c r="AH293" s="295"/>
      <c r="AI293" s="295"/>
      <c r="AJ293" s="295"/>
      <c r="AK293" s="295"/>
      <c r="AL293" s="295"/>
      <c r="AM293" s="295"/>
      <c r="AN293" s="295"/>
      <c r="AO293" s="295"/>
      <c r="AP293" s="295"/>
      <c r="AQ293" s="295"/>
      <c r="AR293" s="295"/>
      <c r="AS293" s="295"/>
      <c r="AT293" s="295"/>
      <c r="AU293" s="295"/>
      <c r="AV293" s="295"/>
      <c r="AW293" s="295"/>
      <c r="AX293" s="295"/>
      <c r="AY293" s="295"/>
      <c r="AZ293" s="295"/>
      <c r="BA293" s="295"/>
      <c r="BB293" s="295"/>
      <c r="BC293" s="295"/>
      <c r="BD293" s="295"/>
      <c r="BE293" s="295"/>
      <c r="BF293" s="295"/>
      <c r="BG293" s="295"/>
      <c r="BH293" s="295"/>
      <c r="BI293" s="295"/>
      <c r="BJ293" s="295"/>
      <c r="BK293" s="295"/>
      <c r="BL293" s="295"/>
      <c r="BM293" s="295"/>
      <c r="BN293" s="295"/>
      <c r="BO293" s="295"/>
      <c r="BP293" s="295"/>
      <c r="BQ293" s="295"/>
      <c r="BR293" s="295"/>
      <c r="BS293" s="295"/>
      <c r="BT293" s="295"/>
      <c r="BU293" s="295"/>
      <c r="BV293" s="295"/>
      <c r="BW293" s="295"/>
      <c r="BX293" s="295"/>
      <c r="BY293" s="295"/>
      <c r="BZ293" s="295"/>
      <c r="CA293" s="295"/>
      <c r="CB293" s="295"/>
      <c r="CC293" s="295"/>
      <c r="CD293" s="295"/>
      <c r="CE293" s="295"/>
      <c r="CF293" s="295"/>
      <c r="CG293" s="295"/>
      <c r="CH293" s="295"/>
      <c r="CI293" s="295"/>
      <c r="CJ293" s="295"/>
      <c r="CK293" s="295"/>
      <c r="CL293" s="295"/>
      <c r="CM293" s="295"/>
      <c r="CN293" s="295"/>
      <c r="CO293" s="295"/>
      <c r="CP293" s="295"/>
      <c r="CQ293" s="295"/>
      <c r="CR293" s="295"/>
      <c r="CS293" s="295"/>
      <c r="CT293" s="295"/>
      <c r="CU293" s="295"/>
      <c r="CV293" s="295"/>
      <c r="CW293" s="295"/>
      <c r="CX293" s="295"/>
      <c r="CY293" s="295"/>
      <c r="CZ293" s="295"/>
      <c r="DA293" s="295"/>
      <c r="DB293" s="295"/>
      <c r="DC293" s="295"/>
      <c r="DD293" s="295"/>
      <c r="DE293" s="295"/>
      <c r="DF293" s="295"/>
      <c r="DG293" s="295"/>
      <c r="DH293" s="295"/>
      <c r="DI293" s="295"/>
      <c r="DJ293" s="295"/>
      <c r="DK293" s="295"/>
      <c r="DL293" s="295"/>
      <c r="DM293" s="295"/>
      <c r="DN293" s="295"/>
      <c r="DO293" s="295"/>
      <c r="DP293" s="295"/>
      <c r="DQ293" s="295"/>
      <c r="DR293" s="295"/>
      <c r="DS293" s="295"/>
      <c r="DT293" s="295"/>
      <c r="DU293" s="295"/>
      <c r="DV293" s="295"/>
      <c r="DW293" s="295"/>
      <c r="DX293" s="295"/>
      <c r="DY293" s="295"/>
      <c r="DZ293" s="295"/>
    </row>
    <row r="294" spans="1:130" s="528" customFormat="1" ht="39" hidden="1" customHeight="1">
      <c r="A294" s="2586"/>
      <c r="B294" s="2649"/>
      <c r="C294" s="2588"/>
      <c r="D294" s="512" t="s">
        <v>3279</v>
      </c>
      <c r="E294" s="513"/>
      <c r="F294" s="553"/>
      <c r="G294" s="513"/>
      <c r="H294" s="513"/>
      <c r="I294" s="513"/>
      <c r="J294" s="515"/>
      <c r="K294" s="513"/>
      <c r="L294" s="513"/>
      <c r="M294" s="513"/>
      <c r="N294" s="2675"/>
      <c r="O294" s="2676"/>
      <c r="P294" s="2488"/>
      <c r="Q294" s="2519"/>
      <c r="R294" s="2512"/>
      <c r="S294" s="2513"/>
      <c r="T294" s="2513"/>
      <c r="U294" s="2514"/>
      <c r="V294" s="218"/>
      <c r="W294" s="2519"/>
      <c r="Y294" s="295"/>
      <c r="Z294" s="295"/>
      <c r="AA294" s="295"/>
      <c r="AB294" s="295"/>
      <c r="AC294" s="295"/>
      <c r="AD294" s="295"/>
      <c r="AE294" s="295"/>
      <c r="AF294" s="295"/>
      <c r="AG294" s="295"/>
      <c r="AH294" s="295"/>
      <c r="AI294" s="295"/>
      <c r="AJ294" s="295"/>
      <c r="AK294" s="295"/>
      <c r="AL294" s="295"/>
      <c r="AM294" s="295"/>
      <c r="AN294" s="295"/>
      <c r="AO294" s="295"/>
      <c r="AP294" s="295"/>
      <c r="AQ294" s="295"/>
      <c r="AR294" s="295"/>
      <c r="AS294" s="295"/>
      <c r="AT294" s="295"/>
      <c r="AU294" s="295"/>
      <c r="AV294" s="295"/>
      <c r="AW294" s="295"/>
      <c r="AX294" s="295"/>
      <c r="AY294" s="295"/>
      <c r="AZ294" s="295"/>
      <c r="BA294" s="295"/>
      <c r="BB294" s="295"/>
      <c r="BC294" s="295"/>
      <c r="BD294" s="295"/>
      <c r="BE294" s="295"/>
      <c r="BF294" s="295"/>
      <c r="BG294" s="295"/>
      <c r="BH294" s="295"/>
      <c r="BI294" s="295"/>
      <c r="BJ294" s="295"/>
      <c r="BK294" s="295"/>
      <c r="BL294" s="295"/>
      <c r="BM294" s="295"/>
      <c r="BN294" s="295"/>
      <c r="BO294" s="295"/>
      <c r="BP294" s="295"/>
      <c r="BQ294" s="295"/>
      <c r="BR294" s="295"/>
      <c r="BS294" s="295"/>
      <c r="BT294" s="295"/>
      <c r="BU294" s="295"/>
      <c r="BV294" s="295"/>
      <c r="BW294" s="295"/>
      <c r="BX294" s="295"/>
      <c r="BY294" s="295"/>
      <c r="BZ294" s="295"/>
      <c r="CA294" s="295"/>
      <c r="CB294" s="295"/>
      <c r="CC294" s="295"/>
      <c r="CD294" s="295"/>
      <c r="CE294" s="295"/>
      <c r="CF294" s="295"/>
      <c r="CG294" s="295"/>
      <c r="CH294" s="295"/>
      <c r="CI294" s="295"/>
      <c r="CJ294" s="295"/>
      <c r="CK294" s="295"/>
      <c r="CL294" s="295"/>
      <c r="CM294" s="295"/>
      <c r="CN294" s="295"/>
      <c r="CO294" s="295"/>
      <c r="CP294" s="295"/>
      <c r="CQ294" s="295"/>
      <c r="CR294" s="295"/>
      <c r="CS294" s="295"/>
      <c r="CT294" s="295"/>
      <c r="CU294" s="295"/>
      <c r="CV294" s="295"/>
      <c r="CW294" s="295"/>
      <c r="CX294" s="295"/>
      <c r="CY294" s="295"/>
      <c r="CZ294" s="295"/>
      <c r="DA294" s="295"/>
      <c r="DB294" s="295"/>
      <c r="DC294" s="295"/>
      <c r="DD294" s="295"/>
      <c r="DE294" s="295"/>
      <c r="DF294" s="295"/>
      <c r="DG294" s="295"/>
      <c r="DH294" s="295"/>
      <c r="DI294" s="295"/>
      <c r="DJ294" s="295"/>
      <c r="DK294" s="295"/>
      <c r="DL294" s="295"/>
      <c r="DM294" s="295"/>
      <c r="DN294" s="295"/>
      <c r="DO294" s="295"/>
      <c r="DP294" s="295"/>
      <c r="DQ294" s="295"/>
      <c r="DR294" s="295"/>
      <c r="DS294" s="295"/>
      <c r="DT294" s="295"/>
      <c r="DU294" s="295"/>
      <c r="DV294" s="295"/>
      <c r="DW294" s="295"/>
      <c r="DX294" s="295"/>
      <c r="DY294" s="295"/>
      <c r="DZ294" s="295"/>
    </row>
    <row r="295" spans="1:130" s="528" customFormat="1" ht="39" hidden="1" customHeight="1">
      <c r="A295" s="2587"/>
      <c r="B295" s="2650"/>
      <c r="C295" s="2589"/>
      <c r="D295" s="752" t="s">
        <v>3864</v>
      </c>
      <c r="E295" s="753"/>
      <c r="F295" s="755"/>
      <c r="G295" s="753"/>
      <c r="H295" s="753"/>
      <c r="I295" s="753"/>
      <c r="J295" s="754">
        <f>SUM(J291,J292,J293,J294)</f>
        <v>505.86899999999997</v>
      </c>
      <c r="K295" s="753">
        <f>SUM(K291,K292,K293,K294)</f>
        <v>458.274</v>
      </c>
      <c r="L295" s="753">
        <f>SUM(L291,L292,L293,L294)</f>
        <v>0</v>
      </c>
      <c r="M295" s="753">
        <f>SUM(M291,M292,M293,M294)</f>
        <v>0</v>
      </c>
      <c r="N295" s="2675"/>
      <c r="O295" s="2676"/>
      <c r="P295" s="2488"/>
      <c r="Q295" s="2519"/>
      <c r="R295" s="2512"/>
      <c r="S295" s="2513"/>
      <c r="T295" s="2513"/>
      <c r="U295" s="2514"/>
      <c r="V295" s="218"/>
      <c r="W295" s="2519"/>
      <c r="Y295" s="295"/>
      <c r="Z295" s="295"/>
      <c r="AA295" s="295"/>
      <c r="AB295" s="295"/>
      <c r="AC295" s="295"/>
      <c r="AD295" s="295"/>
      <c r="AE295" s="295"/>
      <c r="AF295" s="295"/>
      <c r="AG295" s="295"/>
      <c r="AH295" s="295"/>
      <c r="AI295" s="295"/>
      <c r="AJ295" s="295"/>
      <c r="AK295" s="295"/>
      <c r="AL295" s="295"/>
      <c r="AM295" s="295"/>
      <c r="AN295" s="295"/>
      <c r="AO295" s="295"/>
      <c r="AP295" s="295"/>
      <c r="AQ295" s="295"/>
      <c r="AR295" s="295"/>
      <c r="AS295" s="295"/>
      <c r="AT295" s="295"/>
      <c r="AU295" s="295"/>
      <c r="AV295" s="295"/>
      <c r="AW295" s="295"/>
      <c r="AX295" s="295"/>
      <c r="AY295" s="295"/>
      <c r="AZ295" s="295"/>
      <c r="BA295" s="295"/>
      <c r="BB295" s="295"/>
      <c r="BC295" s="295"/>
      <c r="BD295" s="295"/>
      <c r="BE295" s="295"/>
      <c r="BF295" s="295"/>
      <c r="BG295" s="295"/>
      <c r="BH295" s="295"/>
      <c r="BI295" s="295"/>
      <c r="BJ295" s="295"/>
      <c r="BK295" s="295"/>
      <c r="BL295" s="295"/>
      <c r="BM295" s="295"/>
      <c r="BN295" s="295"/>
      <c r="BO295" s="295"/>
      <c r="BP295" s="295"/>
      <c r="BQ295" s="295"/>
      <c r="BR295" s="295"/>
      <c r="BS295" s="295"/>
      <c r="BT295" s="295"/>
      <c r="BU295" s="295"/>
      <c r="BV295" s="295"/>
      <c r="BW295" s="295"/>
      <c r="BX295" s="295"/>
      <c r="BY295" s="295"/>
      <c r="BZ295" s="295"/>
      <c r="CA295" s="295"/>
      <c r="CB295" s="295"/>
      <c r="CC295" s="295"/>
      <c r="CD295" s="295"/>
      <c r="CE295" s="295"/>
      <c r="CF295" s="295"/>
      <c r="CG295" s="295"/>
      <c r="CH295" s="295"/>
      <c r="CI295" s="295"/>
      <c r="CJ295" s="295"/>
      <c r="CK295" s="295"/>
      <c r="CL295" s="295"/>
      <c r="CM295" s="295"/>
      <c r="CN295" s="295"/>
      <c r="CO295" s="295"/>
      <c r="CP295" s="295"/>
      <c r="CQ295" s="295"/>
      <c r="CR295" s="295"/>
      <c r="CS295" s="295"/>
      <c r="CT295" s="295"/>
      <c r="CU295" s="295"/>
      <c r="CV295" s="295"/>
      <c r="CW295" s="295"/>
      <c r="CX295" s="295"/>
      <c r="CY295" s="295"/>
      <c r="CZ295" s="295"/>
      <c r="DA295" s="295"/>
      <c r="DB295" s="295"/>
      <c r="DC295" s="295"/>
      <c r="DD295" s="295"/>
      <c r="DE295" s="295"/>
      <c r="DF295" s="295"/>
      <c r="DG295" s="295"/>
      <c r="DH295" s="295"/>
      <c r="DI295" s="295"/>
      <c r="DJ295" s="295"/>
      <c r="DK295" s="295"/>
      <c r="DL295" s="295"/>
      <c r="DM295" s="295"/>
      <c r="DN295" s="295"/>
      <c r="DO295" s="295"/>
      <c r="DP295" s="295"/>
      <c r="DQ295" s="295"/>
      <c r="DR295" s="295"/>
      <c r="DS295" s="295"/>
      <c r="DT295" s="295"/>
      <c r="DU295" s="295"/>
      <c r="DV295" s="295"/>
      <c r="DW295" s="295"/>
      <c r="DX295" s="295"/>
      <c r="DY295" s="295"/>
      <c r="DZ295" s="295"/>
    </row>
    <row r="296" spans="1:130" s="528" customFormat="1" ht="39" hidden="1" customHeight="1">
      <c r="A296" s="2590"/>
      <c r="B296" s="2648" t="s">
        <v>1085</v>
      </c>
      <c r="C296" s="2591"/>
      <c r="D296" s="512" t="s">
        <v>246</v>
      </c>
      <c r="E296" s="513"/>
      <c r="F296" s="553"/>
      <c r="G296" s="513"/>
      <c r="H296" s="513"/>
      <c r="I296" s="513"/>
      <c r="J296" s="515">
        <v>227.107</v>
      </c>
      <c r="K296" s="513">
        <v>225.643</v>
      </c>
      <c r="L296" s="513"/>
      <c r="M296" s="513"/>
      <c r="N296" s="2675"/>
      <c r="O296" s="2676"/>
      <c r="P296" s="2488"/>
      <c r="Q296" s="2519"/>
      <c r="R296" s="2512"/>
      <c r="S296" s="2513"/>
      <c r="T296" s="2513"/>
      <c r="U296" s="2514"/>
      <c r="V296" s="218"/>
      <c r="W296" s="2519"/>
      <c r="Y296" s="295"/>
      <c r="Z296" s="295"/>
      <c r="AA296" s="295"/>
      <c r="AB296" s="295"/>
      <c r="AC296" s="295"/>
      <c r="AD296" s="295"/>
      <c r="AE296" s="295"/>
      <c r="AF296" s="295"/>
      <c r="AG296" s="295"/>
      <c r="AH296" s="295"/>
      <c r="AI296" s="295"/>
      <c r="AJ296" s="295"/>
      <c r="AK296" s="295"/>
      <c r="AL296" s="295"/>
      <c r="AM296" s="295"/>
      <c r="AN296" s="295"/>
      <c r="AO296" s="295"/>
      <c r="AP296" s="295"/>
      <c r="AQ296" s="295"/>
      <c r="AR296" s="295"/>
      <c r="AS296" s="295"/>
      <c r="AT296" s="295"/>
      <c r="AU296" s="295"/>
      <c r="AV296" s="295"/>
      <c r="AW296" s="295"/>
      <c r="AX296" s="295"/>
      <c r="AY296" s="295"/>
      <c r="AZ296" s="295"/>
      <c r="BA296" s="295"/>
      <c r="BB296" s="295"/>
      <c r="BC296" s="295"/>
      <c r="BD296" s="295"/>
      <c r="BE296" s="295"/>
      <c r="BF296" s="295"/>
      <c r="BG296" s="295"/>
      <c r="BH296" s="295"/>
      <c r="BI296" s="295"/>
      <c r="BJ296" s="295"/>
      <c r="BK296" s="295"/>
      <c r="BL296" s="295"/>
      <c r="BM296" s="295"/>
      <c r="BN296" s="295"/>
      <c r="BO296" s="295"/>
      <c r="BP296" s="295"/>
      <c r="BQ296" s="295"/>
      <c r="BR296" s="295"/>
      <c r="BS296" s="295"/>
      <c r="BT296" s="295"/>
      <c r="BU296" s="295"/>
      <c r="BV296" s="295"/>
      <c r="BW296" s="295"/>
      <c r="BX296" s="295"/>
      <c r="BY296" s="295"/>
      <c r="BZ296" s="295"/>
      <c r="CA296" s="295"/>
      <c r="CB296" s="295"/>
      <c r="CC296" s="295"/>
      <c r="CD296" s="295"/>
      <c r="CE296" s="295"/>
      <c r="CF296" s="295"/>
      <c r="CG296" s="295"/>
      <c r="CH296" s="295"/>
      <c r="CI296" s="295"/>
      <c r="CJ296" s="295"/>
      <c r="CK296" s="295"/>
      <c r="CL296" s="295"/>
      <c r="CM296" s="295"/>
      <c r="CN296" s="295"/>
      <c r="CO296" s="295"/>
      <c r="CP296" s="295"/>
      <c r="CQ296" s="295"/>
      <c r="CR296" s="295"/>
      <c r="CS296" s="295"/>
      <c r="CT296" s="295"/>
      <c r="CU296" s="295"/>
      <c r="CV296" s="295"/>
      <c r="CW296" s="295"/>
      <c r="CX296" s="295"/>
      <c r="CY296" s="295"/>
      <c r="CZ296" s="295"/>
      <c r="DA296" s="295"/>
      <c r="DB296" s="295"/>
      <c r="DC296" s="295"/>
      <c r="DD296" s="295"/>
      <c r="DE296" s="295"/>
      <c r="DF296" s="295"/>
      <c r="DG296" s="295"/>
      <c r="DH296" s="295"/>
      <c r="DI296" s="295"/>
      <c r="DJ296" s="295"/>
      <c r="DK296" s="295"/>
      <c r="DL296" s="295"/>
      <c r="DM296" s="295"/>
      <c r="DN296" s="295"/>
      <c r="DO296" s="295"/>
      <c r="DP296" s="295"/>
      <c r="DQ296" s="295"/>
      <c r="DR296" s="295"/>
      <c r="DS296" s="295"/>
      <c r="DT296" s="295"/>
      <c r="DU296" s="295"/>
      <c r="DV296" s="295"/>
      <c r="DW296" s="295"/>
      <c r="DX296" s="295"/>
      <c r="DY296" s="295"/>
      <c r="DZ296" s="295"/>
    </row>
    <row r="297" spans="1:130" s="528" customFormat="1" ht="39" hidden="1" customHeight="1">
      <c r="A297" s="2586"/>
      <c r="B297" s="2649"/>
      <c r="C297" s="2588"/>
      <c r="D297" s="512" t="s">
        <v>413</v>
      </c>
      <c r="E297" s="513"/>
      <c r="F297" s="553"/>
      <c r="G297" s="513"/>
      <c r="H297" s="513"/>
      <c r="I297" s="513"/>
      <c r="J297" s="515"/>
      <c r="K297" s="513"/>
      <c r="L297" s="513"/>
      <c r="M297" s="513"/>
      <c r="N297" s="2675"/>
      <c r="O297" s="2676"/>
      <c r="P297" s="2488"/>
      <c r="Q297" s="2519"/>
      <c r="R297" s="2512"/>
      <c r="S297" s="2513"/>
      <c r="T297" s="2513"/>
      <c r="U297" s="2514"/>
      <c r="V297" s="218"/>
      <c r="W297" s="2519"/>
      <c r="Y297" s="295"/>
      <c r="Z297" s="295"/>
      <c r="AA297" s="295"/>
      <c r="AB297" s="295"/>
      <c r="AC297" s="295"/>
      <c r="AD297" s="295"/>
      <c r="AE297" s="295"/>
      <c r="AF297" s="295"/>
      <c r="AG297" s="295"/>
      <c r="AH297" s="295"/>
      <c r="AI297" s="295"/>
      <c r="AJ297" s="295"/>
      <c r="AK297" s="295"/>
      <c r="AL297" s="295"/>
      <c r="AM297" s="295"/>
      <c r="AN297" s="295"/>
      <c r="AO297" s="295"/>
      <c r="AP297" s="295"/>
      <c r="AQ297" s="295"/>
      <c r="AR297" s="295"/>
      <c r="AS297" s="295"/>
      <c r="AT297" s="295"/>
      <c r="AU297" s="295"/>
      <c r="AV297" s="295"/>
      <c r="AW297" s="295"/>
      <c r="AX297" s="295"/>
      <c r="AY297" s="295"/>
      <c r="AZ297" s="295"/>
      <c r="BA297" s="295"/>
      <c r="BB297" s="295"/>
      <c r="BC297" s="295"/>
      <c r="BD297" s="295"/>
      <c r="BE297" s="295"/>
      <c r="BF297" s="295"/>
      <c r="BG297" s="295"/>
      <c r="BH297" s="295"/>
      <c r="BI297" s="295"/>
      <c r="BJ297" s="295"/>
      <c r="BK297" s="295"/>
      <c r="BL297" s="295"/>
      <c r="BM297" s="295"/>
      <c r="BN297" s="295"/>
      <c r="BO297" s="295"/>
      <c r="BP297" s="295"/>
      <c r="BQ297" s="295"/>
      <c r="BR297" s="295"/>
      <c r="BS297" s="295"/>
      <c r="BT297" s="295"/>
      <c r="BU297" s="295"/>
      <c r="BV297" s="295"/>
      <c r="BW297" s="295"/>
      <c r="BX297" s="295"/>
      <c r="BY297" s="295"/>
      <c r="BZ297" s="295"/>
      <c r="CA297" s="295"/>
      <c r="CB297" s="295"/>
      <c r="CC297" s="295"/>
      <c r="CD297" s="295"/>
      <c r="CE297" s="295"/>
      <c r="CF297" s="295"/>
      <c r="CG297" s="295"/>
      <c r="CH297" s="295"/>
      <c r="CI297" s="295"/>
      <c r="CJ297" s="295"/>
      <c r="CK297" s="295"/>
      <c r="CL297" s="295"/>
      <c r="CM297" s="295"/>
      <c r="CN297" s="295"/>
      <c r="CO297" s="295"/>
      <c r="CP297" s="295"/>
      <c r="CQ297" s="295"/>
      <c r="CR297" s="295"/>
      <c r="CS297" s="295"/>
      <c r="CT297" s="295"/>
      <c r="CU297" s="295"/>
      <c r="CV297" s="295"/>
      <c r="CW297" s="295"/>
      <c r="CX297" s="295"/>
      <c r="CY297" s="295"/>
      <c r="CZ297" s="295"/>
      <c r="DA297" s="295"/>
      <c r="DB297" s="295"/>
      <c r="DC297" s="295"/>
      <c r="DD297" s="295"/>
      <c r="DE297" s="295"/>
      <c r="DF297" s="295"/>
      <c r="DG297" s="295"/>
      <c r="DH297" s="295"/>
      <c r="DI297" s="295"/>
      <c r="DJ297" s="295"/>
      <c r="DK297" s="295"/>
      <c r="DL297" s="295"/>
      <c r="DM297" s="295"/>
      <c r="DN297" s="295"/>
      <c r="DO297" s="295"/>
      <c r="DP297" s="295"/>
      <c r="DQ297" s="295"/>
      <c r="DR297" s="295"/>
      <c r="DS297" s="295"/>
      <c r="DT297" s="295"/>
      <c r="DU297" s="295"/>
      <c r="DV297" s="295"/>
      <c r="DW297" s="295"/>
      <c r="DX297" s="295"/>
      <c r="DY297" s="295"/>
      <c r="DZ297" s="295"/>
    </row>
    <row r="298" spans="1:130" s="528" customFormat="1" ht="39" hidden="1" customHeight="1">
      <c r="A298" s="2586"/>
      <c r="B298" s="2649"/>
      <c r="C298" s="2588"/>
      <c r="D298" s="512" t="s">
        <v>2928</v>
      </c>
      <c r="E298" s="513"/>
      <c r="F298" s="553"/>
      <c r="G298" s="513"/>
      <c r="H298" s="513"/>
      <c r="I298" s="513"/>
      <c r="J298" s="515">
        <v>246.154</v>
      </c>
      <c r="K298" s="513">
        <v>122.727</v>
      </c>
      <c r="L298" s="513"/>
      <c r="M298" s="513"/>
      <c r="N298" s="2675"/>
      <c r="O298" s="2676"/>
      <c r="P298" s="2488"/>
      <c r="Q298" s="2519"/>
      <c r="R298" s="2512"/>
      <c r="S298" s="2513"/>
      <c r="T298" s="2513"/>
      <c r="U298" s="2514"/>
      <c r="V298" s="218"/>
      <c r="W298" s="2519"/>
      <c r="Y298" s="295"/>
      <c r="Z298" s="295"/>
      <c r="AA298" s="295"/>
      <c r="AB298" s="295"/>
      <c r="AC298" s="295"/>
      <c r="AD298" s="295"/>
      <c r="AE298" s="295"/>
      <c r="AF298" s="295"/>
      <c r="AG298" s="295"/>
      <c r="AH298" s="295"/>
      <c r="AI298" s="295"/>
      <c r="AJ298" s="295"/>
      <c r="AK298" s="295"/>
      <c r="AL298" s="295"/>
      <c r="AM298" s="295"/>
      <c r="AN298" s="295"/>
      <c r="AO298" s="295"/>
      <c r="AP298" s="295"/>
      <c r="AQ298" s="295"/>
      <c r="AR298" s="295"/>
      <c r="AS298" s="295"/>
      <c r="AT298" s="295"/>
      <c r="AU298" s="295"/>
      <c r="AV298" s="295"/>
      <c r="AW298" s="295"/>
      <c r="AX298" s="295"/>
      <c r="AY298" s="295"/>
      <c r="AZ298" s="295"/>
      <c r="BA298" s="295"/>
      <c r="BB298" s="295"/>
      <c r="BC298" s="295"/>
      <c r="BD298" s="295"/>
      <c r="BE298" s="295"/>
      <c r="BF298" s="295"/>
      <c r="BG298" s="295"/>
      <c r="BH298" s="295"/>
      <c r="BI298" s="295"/>
      <c r="BJ298" s="295"/>
      <c r="BK298" s="295"/>
      <c r="BL298" s="295"/>
      <c r="BM298" s="295"/>
      <c r="BN298" s="295"/>
      <c r="BO298" s="295"/>
      <c r="BP298" s="295"/>
      <c r="BQ298" s="295"/>
      <c r="BR298" s="295"/>
      <c r="BS298" s="295"/>
      <c r="BT298" s="295"/>
      <c r="BU298" s="295"/>
      <c r="BV298" s="295"/>
      <c r="BW298" s="295"/>
      <c r="BX298" s="295"/>
      <c r="BY298" s="295"/>
      <c r="BZ298" s="295"/>
      <c r="CA298" s="295"/>
      <c r="CB298" s="295"/>
      <c r="CC298" s="295"/>
      <c r="CD298" s="295"/>
      <c r="CE298" s="295"/>
      <c r="CF298" s="295"/>
      <c r="CG298" s="295"/>
      <c r="CH298" s="295"/>
      <c r="CI298" s="295"/>
      <c r="CJ298" s="295"/>
      <c r="CK298" s="295"/>
      <c r="CL298" s="295"/>
      <c r="CM298" s="295"/>
      <c r="CN298" s="295"/>
      <c r="CO298" s="295"/>
      <c r="CP298" s="295"/>
      <c r="CQ298" s="295"/>
      <c r="CR298" s="295"/>
      <c r="CS298" s="295"/>
      <c r="CT298" s="295"/>
      <c r="CU298" s="295"/>
      <c r="CV298" s="295"/>
      <c r="CW298" s="295"/>
      <c r="CX298" s="295"/>
      <c r="CY298" s="295"/>
      <c r="CZ298" s="295"/>
      <c r="DA298" s="295"/>
      <c r="DB298" s="295"/>
      <c r="DC298" s="295"/>
      <c r="DD298" s="295"/>
      <c r="DE298" s="295"/>
      <c r="DF298" s="295"/>
      <c r="DG298" s="295"/>
      <c r="DH298" s="295"/>
      <c r="DI298" s="295"/>
      <c r="DJ298" s="295"/>
      <c r="DK298" s="295"/>
      <c r="DL298" s="295"/>
      <c r="DM298" s="295"/>
      <c r="DN298" s="295"/>
      <c r="DO298" s="295"/>
      <c r="DP298" s="295"/>
      <c r="DQ298" s="295"/>
      <c r="DR298" s="295"/>
      <c r="DS298" s="295"/>
      <c r="DT298" s="295"/>
      <c r="DU298" s="295"/>
      <c r="DV298" s="295"/>
      <c r="DW298" s="295"/>
      <c r="DX298" s="295"/>
      <c r="DY298" s="295"/>
      <c r="DZ298" s="295"/>
    </row>
    <row r="299" spans="1:130" s="528" customFormat="1" ht="39" hidden="1" customHeight="1">
      <c r="A299" s="2586"/>
      <c r="B299" s="2649"/>
      <c r="C299" s="2588"/>
      <c r="D299" s="512" t="s">
        <v>3279</v>
      </c>
      <c r="E299" s="513"/>
      <c r="F299" s="553"/>
      <c r="G299" s="513"/>
      <c r="H299" s="513"/>
      <c r="I299" s="513"/>
      <c r="J299" s="515"/>
      <c r="K299" s="513">
        <v>376.565</v>
      </c>
      <c r="L299" s="513"/>
      <c r="M299" s="513"/>
      <c r="N299" s="2675"/>
      <c r="O299" s="2676"/>
      <c r="P299" s="2488"/>
      <c r="Q299" s="2519"/>
      <c r="R299" s="2512"/>
      <c r="S299" s="2513"/>
      <c r="T299" s="2513"/>
      <c r="U299" s="2514"/>
      <c r="V299" s="218"/>
      <c r="W299" s="2519"/>
      <c r="Y299" s="295"/>
      <c r="Z299" s="295"/>
      <c r="AA299" s="295"/>
      <c r="AB299" s="295"/>
      <c r="AC299" s="295"/>
      <c r="AD299" s="295"/>
      <c r="AE299" s="295"/>
      <c r="AF299" s="295"/>
      <c r="AG299" s="295"/>
      <c r="AH299" s="295"/>
      <c r="AI299" s="295"/>
      <c r="AJ299" s="295"/>
      <c r="AK299" s="295"/>
      <c r="AL299" s="295"/>
      <c r="AM299" s="295"/>
      <c r="AN299" s="295"/>
      <c r="AO299" s="295"/>
      <c r="AP299" s="295"/>
      <c r="AQ299" s="295"/>
      <c r="AR299" s="295"/>
      <c r="AS299" s="295"/>
      <c r="AT299" s="295"/>
      <c r="AU299" s="295"/>
      <c r="AV299" s="295"/>
      <c r="AW299" s="295"/>
      <c r="AX299" s="295"/>
      <c r="AY299" s="295"/>
      <c r="AZ299" s="295"/>
      <c r="BA299" s="295"/>
      <c r="BB299" s="295"/>
      <c r="BC299" s="295"/>
      <c r="BD299" s="295"/>
      <c r="BE299" s="295"/>
      <c r="BF299" s="295"/>
      <c r="BG299" s="295"/>
      <c r="BH299" s="295"/>
      <c r="BI299" s="295"/>
      <c r="BJ299" s="295"/>
      <c r="BK299" s="295"/>
      <c r="BL299" s="295"/>
      <c r="BM299" s="295"/>
      <c r="BN299" s="295"/>
      <c r="BO299" s="295"/>
      <c r="BP299" s="295"/>
      <c r="BQ299" s="295"/>
      <c r="BR299" s="295"/>
      <c r="BS299" s="295"/>
      <c r="BT299" s="295"/>
      <c r="BU299" s="295"/>
      <c r="BV299" s="295"/>
      <c r="BW299" s="295"/>
      <c r="BX299" s="295"/>
      <c r="BY299" s="295"/>
      <c r="BZ299" s="295"/>
      <c r="CA299" s="295"/>
      <c r="CB299" s="295"/>
      <c r="CC299" s="295"/>
      <c r="CD299" s="295"/>
      <c r="CE299" s="295"/>
      <c r="CF299" s="295"/>
      <c r="CG299" s="295"/>
      <c r="CH299" s="295"/>
      <c r="CI299" s="295"/>
      <c r="CJ299" s="295"/>
      <c r="CK299" s="295"/>
      <c r="CL299" s="295"/>
      <c r="CM299" s="295"/>
      <c r="CN299" s="295"/>
      <c r="CO299" s="295"/>
      <c r="CP299" s="295"/>
      <c r="CQ299" s="295"/>
      <c r="CR299" s="295"/>
      <c r="CS299" s="295"/>
      <c r="CT299" s="295"/>
      <c r="CU299" s="295"/>
      <c r="CV299" s="295"/>
      <c r="CW299" s="295"/>
      <c r="CX299" s="295"/>
      <c r="CY299" s="295"/>
      <c r="CZ299" s="295"/>
      <c r="DA299" s="295"/>
      <c r="DB299" s="295"/>
      <c r="DC299" s="295"/>
      <c r="DD299" s="295"/>
      <c r="DE299" s="295"/>
      <c r="DF299" s="295"/>
      <c r="DG299" s="295"/>
      <c r="DH299" s="295"/>
      <c r="DI299" s="295"/>
      <c r="DJ299" s="295"/>
      <c r="DK299" s="295"/>
      <c r="DL299" s="295"/>
      <c r="DM299" s="295"/>
      <c r="DN299" s="295"/>
      <c r="DO299" s="295"/>
      <c r="DP299" s="295"/>
      <c r="DQ299" s="295"/>
      <c r="DR299" s="295"/>
      <c r="DS299" s="295"/>
      <c r="DT299" s="295"/>
      <c r="DU299" s="295"/>
      <c r="DV299" s="295"/>
      <c r="DW299" s="295"/>
      <c r="DX299" s="295"/>
      <c r="DY299" s="295"/>
      <c r="DZ299" s="295"/>
    </row>
    <row r="300" spans="1:130" s="528" customFormat="1" ht="39" hidden="1" customHeight="1">
      <c r="A300" s="2587"/>
      <c r="B300" s="2650"/>
      <c r="C300" s="2589"/>
      <c r="D300" s="752" t="s">
        <v>3864</v>
      </c>
      <c r="E300" s="753"/>
      <c r="F300" s="755"/>
      <c r="G300" s="753"/>
      <c r="H300" s="753"/>
      <c r="I300" s="753"/>
      <c r="J300" s="754">
        <f>SUM(J296,J297,J298,J299)</f>
        <v>473.26099999999997</v>
      </c>
      <c r="K300" s="753">
        <f>SUM(K296,K297,K298,K299)</f>
        <v>724.93499999999995</v>
      </c>
      <c r="L300" s="753">
        <f t="shared" ref="L300" si="118">SUM(L296,L297,L298,L299)</f>
        <v>0</v>
      </c>
      <c r="M300" s="753">
        <f t="shared" ref="M300" si="119">SUM(M296,M297,M298,M299)</f>
        <v>0</v>
      </c>
      <c r="N300" s="2675"/>
      <c r="O300" s="2676"/>
      <c r="P300" s="2488"/>
      <c r="Q300" s="2519"/>
      <c r="R300" s="2512"/>
      <c r="S300" s="2513"/>
      <c r="T300" s="2513"/>
      <c r="U300" s="2514"/>
      <c r="V300" s="218"/>
      <c r="W300" s="2519"/>
      <c r="Y300" s="295"/>
      <c r="Z300" s="295"/>
      <c r="AA300" s="295"/>
      <c r="AB300" s="295"/>
      <c r="AC300" s="295"/>
      <c r="AD300" s="295"/>
      <c r="AE300" s="295"/>
      <c r="AF300" s="295"/>
      <c r="AG300" s="295"/>
      <c r="AH300" s="295"/>
      <c r="AI300" s="295"/>
      <c r="AJ300" s="295"/>
      <c r="AK300" s="295"/>
      <c r="AL300" s="295"/>
      <c r="AM300" s="295"/>
      <c r="AN300" s="295"/>
      <c r="AO300" s="295"/>
      <c r="AP300" s="295"/>
      <c r="AQ300" s="295"/>
      <c r="AR300" s="295"/>
      <c r="AS300" s="295"/>
      <c r="AT300" s="295"/>
      <c r="AU300" s="295"/>
      <c r="AV300" s="295"/>
      <c r="AW300" s="295"/>
      <c r="AX300" s="295"/>
      <c r="AY300" s="295"/>
      <c r="AZ300" s="295"/>
      <c r="BA300" s="295"/>
      <c r="BB300" s="295"/>
      <c r="BC300" s="295"/>
      <c r="BD300" s="295"/>
      <c r="BE300" s="295"/>
      <c r="BF300" s="295"/>
      <c r="BG300" s="295"/>
      <c r="BH300" s="295"/>
      <c r="BI300" s="295"/>
      <c r="BJ300" s="295"/>
      <c r="BK300" s="295"/>
      <c r="BL300" s="295"/>
      <c r="BM300" s="295"/>
      <c r="BN300" s="295"/>
      <c r="BO300" s="295"/>
      <c r="BP300" s="295"/>
      <c r="BQ300" s="295"/>
      <c r="BR300" s="295"/>
      <c r="BS300" s="295"/>
      <c r="BT300" s="295"/>
      <c r="BU300" s="295"/>
      <c r="BV300" s="295"/>
      <c r="BW300" s="295"/>
      <c r="BX300" s="295"/>
      <c r="BY300" s="295"/>
      <c r="BZ300" s="295"/>
      <c r="CA300" s="295"/>
      <c r="CB300" s="295"/>
      <c r="CC300" s="295"/>
      <c r="CD300" s="295"/>
      <c r="CE300" s="295"/>
      <c r="CF300" s="295"/>
      <c r="CG300" s="295"/>
      <c r="CH300" s="295"/>
      <c r="CI300" s="295"/>
      <c r="CJ300" s="295"/>
      <c r="CK300" s="295"/>
      <c r="CL300" s="295"/>
      <c r="CM300" s="295"/>
      <c r="CN300" s="295"/>
      <c r="CO300" s="295"/>
      <c r="CP300" s="295"/>
      <c r="CQ300" s="295"/>
      <c r="CR300" s="295"/>
      <c r="CS300" s="295"/>
      <c r="CT300" s="295"/>
      <c r="CU300" s="295"/>
      <c r="CV300" s="295"/>
      <c r="CW300" s="295"/>
      <c r="CX300" s="295"/>
      <c r="CY300" s="295"/>
      <c r="CZ300" s="295"/>
      <c r="DA300" s="295"/>
      <c r="DB300" s="295"/>
      <c r="DC300" s="295"/>
      <c r="DD300" s="295"/>
      <c r="DE300" s="295"/>
      <c r="DF300" s="295"/>
      <c r="DG300" s="295"/>
      <c r="DH300" s="295"/>
      <c r="DI300" s="295"/>
      <c r="DJ300" s="295"/>
      <c r="DK300" s="295"/>
      <c r="DL300" s="295"/>
      <c r="DM300" s="295"/>
      <c r="DN300" s="295"/>
      <c r="DO300" s="295"/>
      <c r="DP300" s="295"/>
      <c r="DQ300" s="295"/>
      <c r="DR300" s="295"/>
      <c r="DS300" s="295"/>
      <c r="DT300" s="295"/>
      <c r="DU300" s="295"/>
      <c r="DV300" s="295"/>
      <c r="DW300" s="295"/>
      <c r="DX300" s="295"/>
      <c r="DY300" s="295"/>
      <c r="DZ300" s="295"/>
    </row>
    <row r="301" spans="1:130" s="528" customFormat="1" ht="39" hidden="1" customHeight="1">
      <c r="A301" s="2590"/>
      <c r="B301" s="2648" t="s">
        <v>2703</v>
      </c>
      <c r="C301" s="2591"/>
      <c r="D301" s="512" t="s">
        <v>246</v>
      </c>
      <c r="E301" s="513"/>
      <c r="F301" s="553"/>
      <c r="G301" s="513"/>
      <c r="H301" s="513"/>
      <c r="I301" s="513"/>
      <c r="J301" s="515">
        <v>39.232999999999997</v>
      </c>
      <c r="K301" s="513">
        <v>44.667000000000002</v>
      </c>
      <c r="L301" s="513"/>
      <c r="M301" s="513"/>
      <c r="N301" s="2675"/>
      <c r="O301" s="2676"/>
      <c r="P301" s="2488"/>
      <c r="Q301" s="2519"/>
      <c r="R301" s="2512"/>
      <c r="S301" s="2513"/>
      <c r="T301" s="2513"/>
      <c r="U301" s="2514"/>
      <c r="V301" s="218"/>
      <c r="W301" s="2519"/>
      <c r="Y301" s="295"/>
      <c r="Z301" s="295"/>
      <c r="AA301" s="295"/>
      <c r="AB301" s="295"/>
      <c r="AC301" s="295"/>
      <c r="AD301" s="295"/>
      <c r="AE301" s="295"/>
      <c r="AF301" s="295"/>
      <c r="AG301" s="295"/>
      <c r="AH301" s="295"/>
      <c r="AI301" s="295"/>
      <c r="AJ301" s="295"/>
      <c r="AK301" s="295"/>
      <c r="AL301" s="295"/>
      <c r="AM301" s="295"/>
      <c r="AN301" s="295"/>
      <c r="AO301" s="295"/>
      <c r="AP301" s="295"/>
      <c r="AQ301" s="295"/>
      <c r="AR301" s="295"/>
      <c r="AS301" s="295"/>
      <c r="AT301" s="295"/>
      <c r="AU301" s="295"/>
      <c r="AV301" s="295"/>
      <c r="AW301" s="295"/>
      <c r="AX301" s="295"/>
      <c r="AY301" s="295"/>
      <c r="AZ301" s="295"/>
      <c r="BA301" s="295"/>
      <c r="BB301" s="295"/>
      <c r="BC301" s="295"/>
      <c r="BD301" s="295"/>
      <c r="BE301" s="295"/>
      <c r="BF301" s="295"/>
      <c r="BG301" s="295"/>
      <c r="BH301" s="295"/>
      <c r="BI301" s="295"/>
      <c r="BJ301" s="295"/>
      <c r="BK301" s="295"/>
      <c r="BL301" s="295"/>
      <c r="BM301" s="295"/>
      <c r="BN301" s="295"/>
      <c r="BO301" s="295"/>
      <c r="BP301" s="295"/>
      <c r="BQ301" s="295"/>
      <c r="BR301" s="295"/>
      <c r="BS301" s="295"/>
      <c r="BT301" s="295"/>
      <c r="BU301" s="295"/>
      <c r="BV301" s="295"/>
      <c r="BW301" s="295"/>
      <c r="BX301" s="295"/>
      <c r="BY301" s="295"/>
      <c r="BZ301" s="295"/>
      <c r="CA301" s="295"/>
      <c r="CB301" s="295"/>
      <c r="CC301" s="295"/>
      <c r="CD301" s="295"/>
      <c r="CE301" s="295"/>
      <c r="CF301" s="295"/>
      <c r="CG301" s="295"/>
      <c r="CH301" s="295"/>
      <c r="CI301" s="295"/>
      <c r="CJ301" s="295"/>
      <c r="CK301" s="295"/>
      <c r="CL301" s="295"/>
      <c r="CM301" s="295"/>
      <c r="CN301" s="295"/>
      <c r="CO301" s="295"/>
      <c r="CP301" s="295"/>
      <c r="CQ301" s="295"/>
      <c r="CR301" s="295"/>
      <c r="CS301" s="295"/>
      <c r="CT301" s="295"/>
      <c r="CU301" s="295"/>
      <c r="CV301" s="295"/>
      <c r="CW301" s="295"/>
      <c r="CX301" s="295"/>
      <c r="CY301" s="295"/>
      <c r="CZ301" s="295"/>
      <c r="DA301" s="295"/>
      <c r="DB301" s="295"/>
      <c r="DC301" s="295"/>
      <c r="DD301" s="295"/>
      <c r="DE301" s="295"/>
      <c r="DF301" s="295"/>
      <c r="DG301" s="295"/>
      <c r="DH301" s="295"/>
      <c r="DI301" s="295"/>
      <c r="DJ301" s="295"/>
      <c r="DK301" s="295"/>
      <c r="DL301" s="295"/>
      <c r="DM301" s="295"/>
      <c r="DN301" s="295"/>
      <c r="DO301" s="295"/>
      <c r="DP301" s="295"/>
      <c r="DQ301" s="295"/>
      <c r="DR301" s="295"/>
      <c r="DS301" s="295"/>
      <c r="DT301" s="295"/>
      <c r="DU301" s="295"/>
      <c r="DV301" s="295"/>
      <c r="DW301" s="295"/>
      <c r="DX301" s="295"/>
      <c r="DY301" s="295"/>
      <c r="DZ301" s="295"/>
    </row>
    <row r="302" spans="1:130" s="528" customFormat="1" ht="39" hidden="1" customHeight="1">
      <c r="A302" s="2586"/>
      <c r="B302" s="2649"/>
      <c r="C302" s="2588"/>
      <c r="D302" s="512" t="s">
        <v>413</v>
      </c>
      <c r="E302" s="513"/>
      <c r="F302" s="553"/>
      <c r="G302" s="513"/>
      <c r="H302" s="513"/>
      <c r="I302" s="513"/>
      <c r="J302" s="515"/>
      <c r="K302" s="513"/>
      <c r="L302" s="513"/>
      <c r="M302" s="513"/>
      <c r="N302" s="2675"/>
      <c r="O302" s="2676"/>
      <c r="P302" s="2488"/>
      <c r="Q302" s="2519"/>
      <c r="R302" s="2512"/>
      <c r="S302" s="2513"/>
      <c r="T302" s="2513"/>
      <c r="U302" s="2514"/>
      <c r="V302" s="218"/>
      <c r="W302" s="2519"/>
      <c r="Y302" s="295"/>
      <c r="Z302" s="295"/>
      <c r="AA302" s="295"/>
      <c r="AB302" s="295"/>
      <c r="AC302" s="295"/>
      <c r="AD302" s="295"/>
      <c r="AE302" s="295"/>
      <c r="AF302" s="295"/>
      <c r="AG302" s="295"/>
      <c r="AH302" s="295"/>
      <c r="AI302" s="295"/>
      <c r="AJ302" s="295"/>
      <c r="AK302" s="295"/>
      <c r="AL302" s="295"/>
      <c r="AM302" s="295"/>
      <c r="AN302" s="295"/>
      <c r="AO302" s="295"/>
      <c r="AP302" s="295"/>
      <c r="AQ302" s="295"/>
      <c r="AR302" s="295"/>
      <c r="AS302" s="295"/>
      <c r="AT302" s="295"/>
      <c r="AU302" s="295"/>
      <c r="AV302" s="295"/>
      <c r="AW302" s="295"/>
      <c r="AX302" s="295"/>
      <c r="AY302" s="295"/>
      <c r="AZ302" s="295"/>
      <c r="BA302" s="295"/>
      <c r="BB302" s="295"/>
      <c r="BC302" s="295"/>
      <c r="BD302" s="295"/>
      <c r="BE302" s="295"/>
      <c r="BF302" s="295"/>
      <c r="BG302" s="295"/>
      <c r="BH302" s="295"/>
      <c r="BI302" s="295"/>
      <c r="BJ302" s="295"/>
      <c r="BK302" s="295"/>
      <c r="BL302" s="295"/>
      <c r="BM302" s="295"/>
      <c r="BN302" s="295"/>
      <c r="BO302" s="295"/>
      <c r="BP302" s="295"/>
      <c r="BQ302" s="295"/>
      <c r="BR302" s="295"/>
      <c r="BS302" s="295"/>
      <c r="BT302" s="295"/>
      <c r="BU302" s="295"/>
      <c r="BV302" s="295"/>
      <c r="BW302" s="295"/>
      <c r="BX302" s="295"/>
      <c r="BY302" s="295"/>
      <c r="BZ302" s="295"/>
      <c r="CA302" s="295"/>
      <c r="CB302" s="295"/>
      <c r="CC302" s="295"/>
      <c r="CD302" s="295"/>
      <c r="CE302" s="295"/>
      <c r="CF302" s="295"/>
      <c r="CG302" s="295"/>
      <c r="CH302" s="295"/>
      <c r="CI302" s="295"/>
      <c r="CJ302" s="295"/>
      <c r="CK302" s="295"/>
      <c r="CL302" s="295"/>
      <c r="CM302" s="295"/>
      <c r="CN302" s="295"/>
      <c r="CO302" s="295"/>
      <c r="CP302" s="295"/>
      <c r="CQ302" s="295"/>
      <c r="CR302" s="295"/>
      <c r="CS302" s="295"/>
      <c r="CT302" s="295"/>
      <c r="CU302" s="295"/>
      <c r="CV302" s="295"/>
      <c r="CW302" s="295"/>
      <c r="CX302" s="295"/>
      <c r="CY302" s="295"/>
      <c r="CZ302" s="295"/>
      <c r="DA302" s="295"/>
      <c r="DB302" s="295"/>
      <c r="DC302" s="295"/>
      <c r="DD302" s="295"/>
      <c r="DE302" s="295"/>
      <c r="DF302" s="295"/>
      <c r="DG302" s="295"/>
      <c r="DH302" s="295"/>
      <c r="DI302" s="295"/>
      <c r="DJ302" s="295"/>
      <c r="DK302" s="295"/>
      <c r="DL302" s="295"/>
      <c r="DM302" s="295"/>
      <c r="DN302" s="295"/>
      <c r="DO302" s="295"/>
      <c r="DP302" s="295"/>
      <c r="DQ302" s="295"/>
      <c r="DR302" s="295"/>
      <c r="DS302" s="295"/>
      <c r="DT302" s="295"/>
      <c r="DU302" s="295"/>
      <c r="DV302" s="295"/>
      <c r="DW302" s="295"/>
      <c r="DX302" s="295"/>
      <c r="DY302" s="295"/>
      <c r="DZ302" s="295"/>
    </row>
    <row r="303" spans="1:130" s="528" customFormat="1" ht="39" hidden="1" customHeight="1">
      <c r="A303" s="2586"/>
      <c r="B303" s="2649"/>
      <c r="C303" s="2588"/>
      <c r="D303" s="512" t="s">
        <v>2928</v>
      </c>
      <c r="E303" s="513"/>
      <c r="F303" s="553"/>
      <c r="G303" s="513"/>
      <c r="H303" s="513"/>
      <c r="I303" s="513"/>
      <c r="J303" s="515">
        <v>42.523000000000003</v>
      </c>
      <c r="K303" s="513">
        <v>21.271000000000001</v>
      </c>
      <c r="L303" s="513"/>
      <c r="M303" s="513"/>
      <c r="N303" s="2675"/>
      <c r="O303" s="2676"/>
      <c r="P303" s="2488"/>
      <c r="Q303" s="2519"/>
      <c r="R303" s="2512"/>
      <c r="S303" s="2513"/>
      <c r="T303" s="2513"/>
      <c r="U303" s="2514"/>
      <c r="V303" s="218"/>
      <c r="W303" s="2519"/>
      <c r="Y303" s="295"/>
      <c r="Z303" s="295"/>
      <c r="AA303" s="295"/>
      <c r="AB303" s="295"/>
      <c r="AC303" s="295"/>
      <c r="AD303" s="295"/>
      <c r="AE303" s="295"/>
      <c r="AF303" s="295"/>
      <c r="AG303" s="295"/>
      <c r="AH303" s="295"/>
      <c r="AI303" s="295"/>
      <c r="AJ303" s="295"/>
      <c r="AK303" s="295"/>
      <c r="AL303" s="295"/>
      <c r="AM303" s="295"/>
      <c r="AN303" s="295"/>
      <c r="AO303" s="295"/>
      <c r="AP303" s="295"/>
      <c r="AQ303" s="295"/>
      <c r="AR303" s="295"/>
      <c r="AS303" s="295"/>
      <c r="AT303" s="295"/>
      <c r="AU303" s="295"/>
      <c r="AV303" s="295"/>
      <c r="AW303" s="295"/>
      <c r="AX303" s="295"/>
      <c r="AY303" s="295"/>
      <c r="AZ303" s="295"/>
      <c r="BA303" s="295"/>
      <c r="BB303" s="295"/>
      <c r="BC303" s="295"/>
      <c r="BD303" s="295"/>
      <c r="BE303" s="295"/>
      <c r="BF303" s="295"/>
      <c r="BG303" s="295"/>
      <c r="BH303" s="295"/>
      <c r="BI303" s="295"/>
      <c r="BJ303" s="295"/>
      <c r="BK303" s="295"/>
      <c r="BL303" s="295"/>
      <c r="BM303" s="295"/>
      <c r="BN303" s="295"/>
      <c r="BO303" s="295"/>
      <c r="BP303" s="295"/>
      <c r="BQ303" s="295"/>
      <c r="BR303" s="295"/>
      <c r="BS303" s="295"/>
      <c r="BT303" s="295"/>
      <c r="BU303" s="295"/>
      <c r="BV303" s="295"/>
      <c r="BW303" s="295"/>
      <c r="BX303" s="295"/>
      <c r="BY303" s="295"/>
      <c r="BZ303" s="295"/>
      <c r="CA303" s="295"/>
      <c r="CB303" s="295"/>
      <c r="CC303" s="295"/>
      <c r="CD303" s="295"/>
      <c r="CE303" s="295"/>
      <c r="CF303" s="295"/>
      <c r="CG303" s="295"/>
      <c r="CH303" s="295"/>
      <c r="CI303" s="295"/>
      <c r="CJ303" s="295"/>
      <c r="CK303" s="295"/>
      <c r="CL303" s="295"/>
      <c r="CM303" s="295"/>
      <c r="CN303" s="295"/>
      <c r="CO303" s="295"/>
      <c r="CP303" s="295"/>
      <c r="CQ303" s="295"/>
      <c r="CR303" s="295"/>
      <c r="CS303" s="295"/>
      <c r="CT303" s="295"/>
      <c r="CU303" s="295"/>
      <c r="CV303" s="295"/>
      <c r="CW303" s="295"/>
      <c r="CX303" s="295"/>
      <c r="CY303" s="295"/>
      <c r="CZ303" s="295"/>
      <c r="DA303" s="295"/>
      <c r="DB303" s="295"/>
      <c r="DC303" s="295"/>
      <c r="DD303" s="295"/>
      <c r="DE303" s="295"/>
      <c r="DF303" s="295"/>
      <c r="DG303" s="295"/>
      <c r="DH303" s="295"/>
      <c r="DI303" s="295"/>
      <c r="DJ303" s="295"/>
      <c r="DK303" s="295"/>
      <c r="DL303" s="295"/>
      <c r="DM303" s="295"/>
      <c r="DN303" s="295"/>
      <c r="DO303" s="295"/>
      <c r="DP303" s="295"/>
      <c r="DQ303" s="295"/>
      <c r="DR303" s="295"/>
      <c r="DS303" s="295"/>
      <c r="DT303" s="295"/>
      <c r="DU303" s="295"/>
      <c r="DV303" s="295"/>
      <c r="DW303" s="295"/>
      <c r="DX303" s="295"/>
      <c r="DY303" s="295"/>
      <c r="DZ303" s="295"/>
    </row>
    <row r="304" spans="1:130" s="528" customFormat="1" ht="39" hidden="1" customHeight="1">
      <c r="A304" s="2586"/>
      <c r="B304" s="2649"/>
      <c r="C304" s="2588"/>
      <c r="D304" s="512" t="s">
        <v>3279</v>
      </c>
      <c r="E304" s="513"/>
      <c r="F304" s="553"/>
      <c r="G304" s="513"/>
      <c r="H304" s="513"/>
      <c r="I304" s="513"/>
      <c r="J304" s="515"/>
      <c r="K304" s="513"/>
      <c r="L304" s="513"/>
      <c r="M304" s="513"/>
      <c r="N304" s="2675"/>
      <c r="O304" s="2676"/>
      <c r="P304" s="2488"/>
      <c r="Q304" s="2519"/>
      <c r="R304" s="2512"/>
      <c r="S304" s="2513"/>
      <c r="T304" s="2513"/>
      <c r="U304" s="2514"/>
      <c r="V304" s="218"/>
      <c r="W304" s="2519"/>
      <c r="Y304" s="295"/>
      <c r="Z304" s="295"/>
      <c r="AA304" s="295"/>
      <c r="AB304" s="295"/>
      <c r="AC304" s="295"/>
      <c r="AD304" s="295"/>
      <c r="AE304" s="295"/>
      <c r="AF304" s="295"/>
      <c r="AG304" s="295"/>
      <c r="AH304" s="295"/>
      <c r="AI304" s="295"/>
      <c r="AJ304" s="295"/>
      <c r="AK304" s="295"/>
      <c r="AL304" s="295"/>
      <c r="AM304" s="295"/>
      <c r="AN304" s="295"/>
      <c r="AO304" s="295"/>
      <c r="AP304" s="295"/>
      <c r="AQ304" s="295"/>
      <c r="AR304" s="295"/>
      <c r="AS304" s="295"/>
      <c r="AT304" s="295"/>
      <c r="AU304" s="295"/>
      <c r="AV304" s="295"/>
      <c r="AW304" s="295"/>
      <c r="AX304" s="295"/>
      <c r="AY304" s="295"/>
      <c r="AZ304" s="295"/>
      <c r="BA304" s="295"/>
      <c r="BB304" s="295"/>
      <c r="BC304" s="295"/>
      <c r="BD304" s="295"/>
      <c r="BE304" s="295"/>
      <c r="BF304" s="295"/>
      <c r="BG304" s="295"/>
      <c r="BH304" s="295"/>
      <c r="BI304" s="295"/>
      <c r="BJ304" s="295"/>
      <c r="BK304" s="295"/>
      <c r="BL304" s="295"/>
      <c r="BM304" s="295"/>
      <c r="BN304" s="295"/>
      <c r="BO304" s="295"/>
      <c r="BP304" s="295"/>
      <c r="BQ304" s="295"/>
      <c r="BR304" s="295"/>
      <c r="BS304" s="295"/>
      <c r="BT304" s="295"/>
      <c r="BU304" s="295"/>
      <c r="BV304" s="295"/>
      <c r="BW304" s="295"/>
      <c r="BX304" s="295"/>
      <c r="BY304" s="295"/>
      <c r="BZ304" s="295"/>
      <c r="CA304" s="295"/>
      <c r="CB304" s="295"/>
      <c r="CC304" s="295"/>
      <c r="CD304" s="295"/>
      <c r="CE304" s="295"/>
      <c r="CF304" s="295"/>
      <c r="CG304" s="295"/>
      <c r="CH304" s="295"/>
      <c r="CI304" s="295"/>
      <c r="CJ304" s="295"/>
      <c r="CK304" s="295"/>
      <c r="CL304" s="295"/>
      <c r="CM304" s="295"/>
      <c r="CN304" s="295"/>
      <c r="CO304" s="295"/>
      <c r="CP304" s="295"/>
      <c r="CQ304" s="295"/>
      <c r="CR304" s="295"/>
      <c r="CS304" s="295"/>
      <c r="CT304" s="295"/>
      <c r="CU304" s="295"/>
      <c r="CV304" s="295"/>
      <c r="CW304" s="295"/>
      <c r="CX304" s="295"/>
      <c r="CY304" s="295"/>
      <c r="CZ304" s="295"/>
      <c r="DA304" s="295"/>
      <c r="DB304" s="295"/>
      <c r="DC304" s="295"/>
      <c r="DD304" s="295"/>
      <c r="DE304" s="295"/>
      <c r="DF304" s="295"/>
      <c r="DG304" s="295"/>
      <c r="DH304" s="295"/>
      <c r="DI304" s="295"/>
      <c r="DJ304" s="295"/>
      <c r="DK304" s="295"/>
      <c r="DL304" s="295"/>
      <c r="DM304" s="295"/>
      <c r="DN304" s="295"/>
      <c r="DO304" s="295"/>
      <c r="DP304" s="295"/>
      <c r="DQ304" s="295"/>
      <c r="DR304" s="295"/>
      <c r="DS304" s="295"/>
      <c r="DT304" s="295"/>
      <c r="DU304" s="295"/>
      <c r="DV304" s="295"/>
      <c r="DW304" s="295"/>
      <c r="DX304" s="295"/>
      <c r="DY304" s="295"/>
      <c r="DZ304" s="295"/>
    </row>
    <row r="305" spans="1:130" s="528" customFormat="1" ht="39" hidden="1" customHeight="1">
      <c r="A305" s="2587"/>
      <c r="B305" s="2650"/>
      <c r="C305" s="2589"/>
      <c r="D305" s="752" t="s">
        <v>3864</v>
      </c>
      <c r="E305" s="753"/>
      <c r="F305" s="755"/>
      <c r="G305" s="753"/>
      <c r="H305" s="753"/>
      <c r="I305" s="753"/>
      <c r="J305" s="754">
        <f>SUM(J301,J302,J303,J304)</f>
        <v>81.756</v>
      </c>
      <c r="K305" s="753">
        <f>SUM(K301,K302,K303,K304)</f>
        <v>65.938000000000002</v>
      </c>
      <c r="L305" s="753">
        <f t="shared" ref="L305" si="120">SUM(L301,L302,L303,L304)</f>
        <v>0</v>
      </c>
      <c r="M305" s="753">
        <f t="shared" ref="M305" si="121">SUM(M301,M302,M303,M304)</f>
        <v>0</v>
      </c>
      <c r="N305" s="2677"/>
      <c r="O305" s="2678"/>
      <c r="P305" s="2488"/>
      <c r="Q305" s="2520"/>
      <c r="R305" s="2515"/>
      <c r="S305" s="2516"/>
      <c r="T305" s="2516"/>
      <c r="U305" s="2517"/>
      <c r="V305" s="218"/>
      <c r="W305" s="2520"/>
      <c r="Y305" s="295"/>
      <c r="Z305" s="295"/>
      <c r="AA305" s="295"/>
      <c r="AB305" s="295"/>
      <c r="AC305" s="295"/>
      <c r="AD305" s="295"/>
      <c r="AE305" s="295"/>
      <c r="AF305" s="295"/>
      <c r="AG305" s="295"/>
      <c r="AH305" s="295"/>
      <c r="AI305" s="295"/>
      <c r="AJ305" s="295"/>
      <c r="AK305" s="295"/>
      <c r="AL305" s="295"/>
      <c r="AM305" s="295"/>
      <c r="AN305" s="295"/>
      <c r="AO305" s="295"/>
      <c r="AP305" s="295"/>
      <c r="AQ305" s="295"/>
      <c r="AR305" s="295"/>
      <c r="AS305" s="295"/>
      <c r="AT305" s="295"/>
      <c r="AU305" s="295"/>
      <c r="AV305" s="295"/>
      <c r="AW305" s="295"/>
      <c r="AX305" s="295"/>
      <c r="AY305" s="295"/>
      <c r="AZ305" s="295"/>
      <c r="BA305" s="295"/>
      <c r="BB305" s="295"/>
      <c r="BC305" s="295"/>
      <c r="BD305" s="295"/>
      <c r="BE305" s="295"/>
      <c r="BF305" s="295"/>
      <c r="BG305" s="295"/>
      <c r="BH305" s="295"/>
      <c r="BI305" s="295"/>
      <c r="BJ305" s="295"/>
      <c r="BK305" s="295"/>
      <c r="BL305" s="295"/>
      <c r="BM305" s="295"/>
      <c r="BN305" s="295"/>
      <c r="BO305" s="295"/>
      <c r="BP305" s="295"/>
      <c r="BQ305" s="295"/>
      <c r="BR305" s="295"/>
      <c r="BS305" s="295"/>
      <c r="BT305" s="295"/>
      <c r="BU305" s="295"/>
      <c r="BV305" s="295"/>
      <c r="BW305" s="295"/>
      <c r="BX305" s="295"/>
      <c r="BY305" s="295"/>
      <c r="BZ305" s="295"/>
      <c r="CA305" s="295"/>
      <c r="CB305" s="295"/>
      <c r="CC305" s="295"/>
      <c r="CD305" s="295"/>
      <c r="CE305" s="295"/>
      <c r="CF305" s="295"/>
      <c r="CG305" s="295"/>
      <c r="CH305" s="295"/>
      <c r="CI305" s="295"/>
      <c r="CJ305" s="295"/>
      <c r="CK305" s="295"/>
      <c r="CL305" s="295"/>
      <c r="CM305" s="295"/>
      <c r="CN305" s="295"/>
      <c r="CO305" s="295"/>
      <c r="CP305" s="295"/>
      <c r="CQ305" s="295"/>
      <c r="CR305" s="295"/>
      <c r="CS305" s="295"/>
      <c r="CT305" s="295"/>
      <c r="CU305" s="295"/>
      <c r="CV305" s="295"/>
      <c r="CW305" s="295"/>
      <c r="CX305" s="295"/>
      <c r="CY305" s="295"/>
      <c r="CZ305" s="295"/>
      <c r="DA305" s="295"/>
      <c r="DB305" s="295"/>
      <c r="DC305" s="295"/>
      <c r="DD305" s="295"/>
      <c r="DE305" s="295"/>
      <c r="DF305" s="295"/>
      <c r="DG305" s="295"/>
      <c r="DH305" s="295"/>
      <c r="DI305" s="295"/>
      <c r="DJ305" s="295"/>
      <c r="DK305" s="295"/>
      <c r="DL305" s="295"/>
      <c r="DM305" s="295"/>
      <c r="DN305" s="295"/>
      <c r="DO305" s="295"/>
      <c r="DP305" s="295"/>
      <c r="DQ305" s="295"/>
      <c r="DR305" s="295"/>
      <c r="DS305" s="295"/>
      <c r="DT305" s="295"/>
      <c r="DU305" s="295"/>
      <c r="DV305" s="295"/>
      <c r="DW305" s="295"/>
      <c r="DX305" s="295"/>
      <c r="DY305" s="295"/>
      <c r="DZ305" s="295"/>
    </row>
    <row r="306" spans="1:130" ht="39" customHeight="1">
      <c r="A306" s="2565" t="s">
        <v>2050</v>
      </c>
      <c r="B306" s="2575" t="s">
        <v>2912</v>
      </c>
      <c r="C306" s="2568" t="s">
        <v>3275</v>
      </c>
      <c r="D306" s="297" t="s">
        <v>246</v>
      </c>
      <c r="E306" s="225"/>
      <c r="F306" s="318"/>
      <c r="G306" s="225">
        <v>591.6</v>
      </c>
      <c r="H306" s="225">
        <v>591.6</v>
      </c>
      <c r="I306" s="510">
        <f t="shared" ref="I306:I311" si="122">K306/H306-1</f>
        <v>-2.5488505747126577E-2</v>
      </c>
      <c r="J306" s="230">
        <f>SUM(J312,J317,J322)</f>
        <v>807.5</v>
      </c>
      <c r="K306" s="225">
        <f>SUM(K312,K317,K322,)</f>
        <v>576.52099999999996</v>
      </c>
      <c r="L306" s="225">
        <v>51.682000000000002</v>
      </c>
      <c r="M306" s="225">
        <f t="shared" ref="M306" si="123">SUM(M312,M317,M322,)</f>
        <v>0</v>
      </c>
      <c r="N306" s="2476" t="s">
        <v>2293</v>
      </c>
      <c r="O306" s="2395" t="s">
        <v>3362</v>
      </c>
      <c r="P306" s="2488"/>
      <c r="Q306" s="2475" t="s">
        <v>1141</v>
      </c>
      <c r="R306" s="2343" t="s">
        <v>1947</v>
      </c>
      <c r="S306" s="284" t="s">
        <v>434</v>
      </c>
      <c r="T306" s="2504"/>
      <c r="U306" s="2507" t="s">
        <v>2303</v>
      </c>
      <c r="V306" s="2504"/>
      <c r="W306" s="2475" t="s">
        <v>2999</v>
      </c>
    </row>
    <row r="307" spans="1:130" ht="39" customHeight="1">
      <c r="A307" s="2565"/>
      <c r="B307" s="2575"/>
      <c r="C307" s="2568"/>
      <c r="D307" s="297" t="s">
        <v>471</v>
      </c>
      <c r="E307" s="225"/>
      <c r="F307" s="318"/>
      <c r="G307" s="225"/>
      <c r="H307" s="223"/>
      <c r="I307" s="510"/>
      <c r="J307" s="230">
        <f>SUM(J314,J315,J319,J320,J324,J325)</f>
        <v>485.41400000000004</v>
      </c>
      <c r="K307" s="225"/>
      <c r="L307" s="225"/>
      <c r="M307" s="225"/>
      <c r="N307" s="2476"/>
      <c r="O307" s="2395"/>
      <c r="P307" s="2488"/>
      <c r="Q307" s="2475"/>
      <c r="R307" s="2344"/>
      <c r="S307" s="284"/>
      <c r="T307" s="2505"/>
      <c r="U307" s="2508"/>
      <c r="V307" s="2505"/>
      <c r="W307" s="2475"/>
    </row>
    <row r="308" spans="1:130" ht="39" customHeight="1">
      <c r="A308" s="2566"/>
      <c r="B308" s="2575"/>
      <c r="C308" s="2569"/>
      <c r="D308" s="299" t="s">
        <v>2928</v>
      </c>
      <c r="E308" s="225">
        <v>16.239999999999998</v>
      </c>
      <c r="F308" s="318">
        <f>H308/E308-1</f>
        <v>9.0474137931034484</v>
      </c>
      <c r="G308" s="225">
        <v>163.16999999999999</v>
      </c>
      <c r="H308" s="223">
        <v>163.16999999999999</v>
      </c>
      <c r="I308" s="510">
        <f t="shared" si="122"/>
        <v>1.4885334313905743</v>
      </c>
      <c r="J308" s="230"/>
      <c r="K308" s="225">
        <f>SUM(K319,K324,K314)</f>
        <v>406.05399999999997</v>
      </c>
      <c r="L308" s="225">
        <v>0</v>
      </c>
      <c r="M308" s="225">
        <f t="shared" ref="M308" si="124">SUM(M319,M324,M314)</f>
        <v>0</v>
      </c>
      <c r="N308" s="2476"/>
      <c r="O308" s="2396"/>
      <c r="P308" s="2488"/>
      <c r="Q308" s="2475"/>
      <c r="R308" s="2343" t="s">
        <v>1944</v>
      </c>
      <c r="S308" s="284" t="s">
        <v>434</v>
      </c>
      <c r="T308" s="2504"/>
      <c r="U308" s="2507" t="s">
        <v>1945</v>
      </c>
      <c r="V308" s="2504"/>
      <c r="W308" s="2475"/>
      <c r="X308" s="347" t="s">
        <v>2784</v>
      </c>
    </row>
    <row r="309" spans="1:130" ht="39" customHeight="1">
      <c r="A309" s="2566"/>
      <c r="B309" s="2580"/>
      <c r="C309" s="2570"/>
      <c r="D309" s="945" t="s">
        <v>1394</v>
      </c>
      <c r="E309" s="223"/>
      <c r="F309" s="902"/>
      <c r="G309" s="223"/>
      <c r="H309" s="223"/>
      <c r="I309" s="646"/>
      <c r="J309" s="275"/>
      <c r="K309" s="223"/>
      <c r="L309" s="223">
        <v>36.908000000000001</v>
      </c>
      <c r="M309" s="223"/>
      <c r="N309" s="2476"/>
      <c r="O309" s="2396"/>
      <c r="P309" s="2488"/>
      <c r="Q309" s="2475"/>
      <c r="R309" s="2344"/>
      <c r="S309" s="296"/>
      <c r="T309" s="2505"/>
      <c r="U309" s="2508"/>
      <c r="V309" s="2505"/>
      <c r="W309" s="2475"/>
      <c r="X309" s="347"/>
    </row>
    <row r="310" spans="1:130" ht="39" customHeight="1">
      <c r="A310" s="2566"/>
      <c r="B310" s="2580"/>
      <c r="C310" s="2570"/>
      <c r="D310" s="2630" t="s">
        <v>1121</v>
      </c>
      <c r="E310" s="2493">
        <f>SUM(E306:E308)</f>
        <v>16.239999999999998</v>
      </c>
      <c r="F310" s="2632">
        <f t="shared" ref="F310:F311" si="125">H310/E310-1</f>
        <v>45.475985221674883</v>
      </c>
      <c r="G310" s="2493">
        <f>SUM(G306:G308)</f>
        <v>754.77</v>
      </c>
      <c r="H310" s="2619">
        <f>SUM(H306:H308)</f>
        <v>754.77</v>
      </c>
      <c r="I310" s="2635">
        <f t="shared" si="122"/>
        <v>0.30182042211534643</v>
      </c>
      <c r="J310" s="2498">
        <f>SUM(J306:J308)</f>
        <v>1292.914</v>
      </c>
      <c r="K310" s="2493">
        <f t="shared" ref="K310" si="126">SUM(K306:K308)</f>
        <v>982.57499999999993</v>
      </c>
      <c r="L310" s="2493">
        <f>SUM(L306,L307,L308,L309)</f>
        <v>88.59</v>
      </c>
      <c r="M310" s="2493">
        <f>SUM(M306,M307,M308,M309)</f>
        <v>0</v>
      </c>
      <c r="N310" s="2476"/>
      <c r="O310" s="2396"/>
      <c r="P310" s="2488"/>
      <c r="Q310" s="2475"/>
      <c r="R310" s="2343" t="s">
        <v>1142</v>
      </c>
      <c r="S310" s="2477" t="s">
        <v>434</v>
      </c>
      <c r="T310" s="2628"/>
      <c r="U310" s="2477" t="s">
        <v>2304</v>
      </c>
      <c r="V310" s="2504"/>
      <c r="W310" s="2475"/>
    </row>
    <row r="311" spans="1:130" ht="39" customHeight="1">
      <c r="A311" s="2567"/>
      <c r="B311" s="2580"/>
      <c r="C311" s="2570"/>
      <c r="D311" s="2631"/>
      <c r="E311" s="2494"/>
      <c r="F311" s="2633" t="e">
        <f t="shared" si="125"/>
        <v>#DIV/0!</v>
      </c>
      <c r="G311" s="2494"/>
      <c r="H311" s="2493"/>
      <c r="I311" s="2636" t="e">
        <f t="shared" si="122"/>
        <v>#DIV/0!</v>
      </c>
      <c r="J311" s="2499"/>
      <c r="K311" s="2494"/>
      <c r="L311" s="2494"/>
      <c r="M311" s="2494"/>
      <c r="N311" s="2476"/>
      <c r="O311" s="2400"/>
      <c r="P311" s="2488"/>
      <c r="Q311" s="2475"/>
      <c r="R311" s="2344"/>
      <c r="S311" s="2479"/>
      <c r="T311" s="2629"/>
      <c r="U311" s="2479"/>
      <c r="V311" s="2505"/>
      <c r="W311" s="2475"/>
    </row>
    <row r="312" spans="1:130" s="528" customFormat="1" ht="39" hidden="1" customHeight="1">
      <c r="A312" s="2590"/>
      <c r="B312" s="2648" t="s">
        <v>3283</v>
      </c>
      <c r="C312" s="2591"/>
      <c r="D312" s="512" t="s">
        <v>246</v>
      </c>
      <c r="E312" s="513"/>
      <c r="F312" s="553"/>
      <c r="G312" s="513"/>
      <c r="H312" s="513"/>
      <c r="I312" s="513"/>
      <c r="J312" s="515">
        <v>276.07299999999998</v>
      </c>
      <c r="K312" s="513">
        <v>114.78700000000001</v>
      </c>
      <c r="L312" s="513"/>
      <c r="M312" s="513"/>
      <c r="N312" s="2521"/>
      <c r="O312" s="2522"/>
      <c r="P312" s="2488"/>
      <c r="Q312" s="2509"/>
      <c r="R312" s="2510"/>
      <c r="S312" s="2510"/>
      <c r="T312" s="2510"/>
      <c r="U312" s="2511"/>
      <c r="V312" s="218"/>
      <c r="W312" s="2518"/>
      <c r="Y312" s="295"/>
      <c r="Z312" s="295"/>
      <c r="AA312" s="295"/>
      <c r="AB312" s="295"/>
      <c r="AC312" s="295"/>
      <c r="AD312" s="295"/>
      <c r="AE312" s="295"/>
      <c r="AF312" s="295"/>
      <c r="AG312" s="295"/>
      <c r="AH312" s="295"/>
      <c r="AI312" s="295"/>
      <c r="AJ312" s="295"/>
      <c r="AK312" s="295"/>
      <c r="AL312" s="295"/>
      <c r="AM312" s="295"/>
      <c r="AN312" s="295"/>
      <c r="AO312" s="295"/>
      <c r="AP312" s="295"/>
      <c r="AQ312" s="295"/>
      <c r="AR312" s="295"/>
      <c r="AS312" s="295"/>
      <c r="AT312" s="295"/>
      <c r="AU312" s="295"/>
      <c r="AV312" s="295"/>
      <c r="AW312" s="295"/>
      <c r="AX312" s="295"/>
      <c r="AY312" s="295"/>
      <c r="AZ312" s="295"/>
      <c r="BA312" s="295"/>
      <c r="BB312" s="295"/>
      <c r="BC312" s="295"/>
      <c r="BD312" s="295"/>
      <c r="BE312" s="295"/>
      <c r="BF312" s="295"/>
      <c r="BG312" s="295"/>
      <c r="BH312" s="295"/>
      <c r="BI312" s="295"/>
      <c r="BJ312" s="295"/>
      <c r="BK312" s="295"/>
      <c r="BL312" s="295"/>
      <c r="BM312" s="295"/>
      <c r="BN312" s="295"/>
      <c r="BO312" s="295"/>
      <c r="BP312" s="295"/>
      <c r="BQ312" s="295"/>
      <c r="BR312" s="295"/>
      <c r="BS312" s="295"/>
      <c r="BT312" s="295"/>
      <c r="BU312" s="295"/>
      <c r="BV312" s="295"/>
      <c r="BW312" s="295"/>
      <c r="BX312" s="295"/>
      <c r="BY312" s="295"/>
      <c r="BZ312" s="295"/>
      <c r="CA312" s="295"/>
      <c r="CB312" s="295"/>
      <c r="CC312" s="295"/>
      <c r="CD312" s="295"/>
      <c r="CE312" s="295"/>
      <c r="CF312" s="295"/>
      <c r="CG312" s="295"/>
      <c r="CH312" s="295"/>
      <c r="CI312" s="295"/>
      <c r="CJ312" s="295"/>
      <c r="CK312" s="295"/>
      <c r="CL312" s="295"/>
      <c r="CM312" s="295"/>
      <c r="CN312" s="295"/>
      <c r="CO312" s="295"/>
      <c r="CP312" s="295"/>
      <c r="CQ312" s="295"/>
      <c r="CR312" s="295"/>
      <c r="CS312" s="295"/>
      <c r="CT312" s="295"/>
      <c r="CU312" s="295"/>
      <c r="CV312" s="295"/>
      <c r="CW312" s="295"/>
      <c r="CX312" s="295"/>
      <c r="CY312" s="295"/>
      <c r="CZ312" s="295"/>
      <c r="DA312" s="295"/>
      <c r="DB312" s="295"/>
      <c r="DC312" s="295"/>
      <c r="DD312" s="295"/>
      <c r="DE312" s="295"/>
      <c r="DF312" s="295"/>
      <c r="DG312" s="295"/>
      <c r="DH312" s="295"/>
      <c r="DI312" s="295"/>
      <c r="DJ312" s="295"/>
      <c r="DK312" s="295"/>
      <c r="DL312" s="295"/>
      <c r="DM312" s="295"/>
      <c r="DN312" s="295"/>
      <c r="DO312" s="295"/>
      <c r="DP312" s="295"/>
      <c r="DQ312" s="295"/>
      <c r="DR312" s="295"/>
      <c r="DS312" s="295"/>
      <c r="DT312" s="295"/>
      <c r="DU312" s="295"/>
      <c r="DV312" s="295"/>
      <c r="DW312" s="295"/>
      <c r="DX312" s="295"/>
      <c r="DY312" s="295"/>
      <c r="DZ312" s="295"/>
    </row>
    <row r="313" spans="1:130" s="528" customFormat="1" ht="39" hidden="1" customHeight="1">
      <c r="A313" s="2586"/>
      <c r="B313" s="2649"/>
      <c r="C313" s="2588"/>
      <c r="D313" s="512" t="s">
        <v>413</v>
      </c>
      <c r="E313" s="513"/>
      <c r="F313" s="553"/>
      <c r="G313" s="513"/>
      <c r="H313" s="513"/>
      <c r="I313" s="513"/>
      <c r="J313" s="515"/>
      <c r="K313" s="513"/>
      <c r="L313" s="513"/>
      <c r="M313" s="513"/>
      <c r="N313" s="2523"/>
      <c r="O313" s="2524"/>
      <c r="P313" s="2488"/>
      <c r="Q313" s="2512"/>
      <c r="R313" s="2513"/>
      <c r="S313" s="2513"/>
      <c r="T313" s="2513"/>
      <c r="U313" s="2514"/>
      <c r="V313" s="218"/>
      <c r="W313" s="2519"/>
      <c r="Y313" s="295"/>
      <c r="Z313" s="295"/>
      <c r="AA313" s="295"/>
      <c r="AB313" s="295"/>
      <c r="AC313" s="295"/>
      <c r="AD313" s="295"/>
      <c r="AE313" s="295"/>
      <c r="AF313" s="295"/>
      <c r="AG313" s="295"/>
      <c r="AH313" s="295"/>
      <c r="AI313" s="295"/>
      <c r="AJ313" s="295"/>
      <c r="AK313" s="295"/>
      <c r="AL313" s="295"/>
      <c r="AM313" s="295"/>
      <c r="AN313" s="295"/>
      <c r="AO313" s="295"/>
      <c r="AP313" s="295"/>
      <c r="AQ313" s="295"/>
      <c r="AR313" s="295"/>
      <c r="AS313" s="295"/>
      <c r="AT313" s="295"/>
      <c r="AU313" s="295"/>
      <c r="AV313" s="295"/>
      <c r="AW313" s="295"/>
      <c r="AX313" s="295"/>
      <c r="AY313" s="295"/>
      <c r="AZ313" s="295"/>
      <c r="BA313" s="295"/>
      <c r="BB313" s="295"/>
      <c r="BC313" s="295"/>
      <c r="BD313" s="295"/>
      <c r="BE313" s="295"/>
      <c r="BF313" s="295"/>
      <c r="BG313" s="295"/>
      <c r="BH313" s="295"/>
      <c r="BI313" s="295"/>
      <c r="BJ313" s="295"/>
      <c r="BK313" s="295"/>
      <c r="BL313" s="295"/>
      <c r="BM313" s="295"/>
      <c r="BN313" s="295"/>
      <c r="BO313" s="295"/>
      <c r="BP313" s="295"/>
      <c r="BQ313" s="295"/>
      <c r="BR313" s="295"/>
      <c r="BS313" s="295"/>
      <c r="BT313" s="295"/>
      <c r="BU313" s="295"/>
      <c r="BV313" s="295"/>
      <c r="BW313" s="295"/>
      <c r="BX313" s="295"/>
      <c r="BY313" s="295"/>
      <c r="BZ313" s="295"/>
      <c r="CA313" s="295"/>
      <c r="CB313" s="295"/>
      <c r="CC313" s="295"/>
      <c r="CD313" s="295"/>
      <c r="CE313" s="295"/>
      <c r="CF313" s="295"/>
      <c r="CG313" s="295"/>
      <c r="CH313" s="295"/>
      <c r="CI313" s="295"/>
      <c r="CJ313" s="295"/>
      <c r="CK313" s="295"/>
      <c r="CL313" s="295"/>
      <c r="CM313" s="295"/>
      <c r="CN313" s="295"/>
      <c r="CO313" s="295"/>
      <c r="CP313" s="295"/>
      <c r="CQ313" s="295"/>
      <c r="CR313" s="295"/>
      <c r="CS313" s="295"/>
      <c r="CT313" s="295"/>
      <c r="CU313" s="295"/>
      <c r="CV313" s="295"/>
      <c r="CW313" s="295"/>
      <c r="CX313" s="295"/>
      <c r="CY313" s="295"/>
      <c r="CZ313" s="295"/>
      <c r="DA313" s="295"/>
      <c r="DB313" s="295"/>
      <c r="DC313" s="295"/>
      <c r="DD313" s="295"/>
      <c r="DE313" s="295"/>
      <c r="DF313" s="295"/>
      <c r="DG313" s="295"/>
      <c r="DH313" s="295"/>
      <c r="DI313" s="295"/>
      <c r="DJ313" s="295"/>
      <c r="DK313" s="295"/>
      <c r="DL313" s="295"/>
      <c r="DM313" s="295"/>
      <c r="DN313" s="295"/>
      <c r="DO313" s="295"/>
      <c r="DP313" s="295"/>
      <c r="DQ313" s="295"/>
      <c r="DR313" s="295"/>
      <c r="DS313" s="295"/>
      <c r="DT313" s="295"/>
      <c r="DU313" s="295"/>
      <c r="DV313" s="295"/>
      <c r="DW313" s="295"/>
      <c r="DX313" s="295"/>
      <c r="DY313" s="295"/>
      <c r="DZ313" s="295"/>
    </row>
    <row r="314" spans="1:130" s="528" customFormat="1" ht="39" hidden="1" customHeight="1">
      <c r="A314" s="2586"/>
      <c r="B314" s="2649"/>
      <c r="C314" s="2588"/>
      <c r="D314" s="512" t="s">
        <v>2928</v>
      </c>
      <c r="E314" s="513"/>
      <c r="F314" s="553"/>
      <c r="G314" s="513"/>
      <c r="H314" s="513"/>
      <c r="I314" s="513"/>
      <c r="J314" s="515">
        <v>125.994</v>
      </c>
      <c r="K314" s="513">
        <v>81.619</v>
      </c>
      <c r="L314" s="513"/>
      <c r="M314" s="513"/>
      <c r="N314" s="2523"/>
      <c r="O314" s="2524"/>
      <c r="P314" s="2488"/>
      <c r="Q314" s="2512"/>
      <c r="R314" s="2513"/>
      <c r="S314" s="2513"/>
      <c r="T314" s="2513"/>
      <c r="U314" s="2514"/>
      <c r="V314" s="218"/>
      <c r="W314" s="2519"/>
      <c r="Y314" s="295"/>
      <c r="Z314" s="295"/>
      <c r="AA314" s="295"/>
      <c r="AB314" s="295"/>
      <c r="AC314" s="295"/>
      <c r="AD314" s="295"/>
      <c r="AE314" s="295"/>
      <c r="AF314" s="295"/>
      <c r="AG314" s="295"/>
      <c r="AH314" s="295"/>
      <c r="AI314" s="295"/>
      <c r="AJ314" s="295"/>
      <c r="AK314" s="295"/>
      <c r="AL314" s="295"/>
      <c r="AM314" s="295"/>
      <c r="AN314" s="295"/>
      <c r="AO314" s="295"/>
      <c r="AP314" s="295"/>
      <c r="AQ314" s="295"/>
      <c r="AR314" s="295"/>
      <c r="AS314" s="295"/>
      <c r="AT314" s="295"/>
      <c r="AU314" s="295"/>
      <c r="AV314" s="295"/>
      <c r="AW314" s="295"/>
      <c r="AX314" s="295"/>
      <c r="AY314" s="295"/>
      <c r="AZ314" s="295"/>
      <c r="BA314" s="295"/>
      <c r="BB314" s="295"/>
      <c r="BC314" s="295"/>
      <c r="BD314" s="295"/>
      <c r="BE314" s="295"/>
      <c r="BF314" s="295"/>
      <c r="BG314" s="295"/>
      <c r="BH314" s="295"/>
      <c r="BI314" s="295"/>
      <c r="BJ314" s="295"/>
      <c r="BK314" s="295"/>
      <c r="BL314" s="295"/>
      <c r="BM314" s="295"/>
      <c r="BN314" s="295"/>
      <c r="BO314" s="295"/>
      <c r="BP314" s="295"/>
      <c r="BQ314" s="295"/>
      <c r="BR314" s="295"/>
      <c r="BS314" s="295"/>
      <c r="BT314" s="295"/>
      <c r="BU314" s="295"/>
      <c r="BV314" s="295"/>
      <c r="BW314" s="295"/>
      <c r="BX314" s="295"/>
      <c r="BY314" s="295"/>
      <c r="BZ314" s="295"/>
      <c r="CA314" s="295"/>
      <c r="CB314" s="295"/>
      <c r="CC314" s="295"/>
      <c r="CD314" s="295"/>
      <c r="CE314" s="295"/>
      <c r="CF314" s="295"/>
      <c r="CG314" s="295"/>
      <c r="CH314" s="295"/>
      <c r="CI314" s="295"/>
      <c r="CJ314" s="295"/>
      <c r="CK314" s="295"/>
      <c r="CL314" s="295"/>
      <c r="CM314" s="295"/>
      <c r="CN314" s="295"/>
      <c r="CO314" s="295"/>
      <c r="CP314" s="295"/>
      <c r="CQ314" s="295"/>
      <c r="CR314" s="295"/>
      <c r="CS314" s="295"/>
      <c r="CT314" s="295"/>
      <c r="CU314" s="295"/>
      <c r="CV314" s="295"/>
      <c r="CW314" s="295"/>
      <c r="CX314" s="295"/>
      <c r="CY314" s="295"/>
      <c r="CZ314" s="295"/>
      <c r="DA314" s="295"/>
      <c r="DB314" s="295"/>
      <c r="DC314" s="295"/>
      <c r="DD314" s="295"/>
      <c r="DE314" s="295"/>
      <c r="DF314" s="295"/>
      <c r="DG314" s="295"/>
      <c r="DH314" s="295"/>
      <c r="DI314" s="295"/>
      <c r="DJ314" s="295"/>
      <c r="DK314" s="295"/>
      <c r="DL314" s="295"/>
      <c r="DM314" s="295"/>
      <c r="DN314" s="295"/>
      <c r="DO314" s="295"/>
      <c r="DP314" s="295"/>
      <c r="DQ314" s="295"/>
      <c r="DR314" s="295"/>
      <c r="DS314" s="295"/>
      <c r="DT314" s="295"/>
      <c r="DU314" s="295"/>
      <c r="DV314" s="295"/>
      <c r="DW314" s="295"/>
      <c r="DX314" s="295"/>
      <c r="DY314" s="295"/>
      <c r="DZ314" s="295"/>
    </row>
    <row r="315" spans="1:130" s="528" customFormat="1" ht="39" hidden="1" customHeight="1">
      <c r="A315" s="2586"/>
      <c r="B315" s="2649"/>
      <c r="C315" s="2588"/>
      <c r="D315" s="512" t="s">
        <v>3279</v>
      </c>
      <c r="E315" s="513"/>
      <c r="F315" s="553"/>
      <c r="G315" s="513"/>
      <c r="H315" s="513"/>
      <c r="I315" s="513"/>
      <c r="J315" s="515"/>
      <c r="K315" s="513"/>
      <c r="L315" s="513"/>
      <c r="M315" s="513"/>
      <c r="N315" s="2523"/>
      <c r="O315" s="2524"/>
      <c r="P315" s="2488"/>
      <c r="Q315" s="2512"/>
      <c r="R315" s="2513"/>
      <c r="S315" s="2513"/>
      <c r="T315" s="2513"/>
      <c r="U315" s="2514"/>
      <c r="V315" s="218"/>
      <c r="W315" s="2519"/>
      <c r="Y315" s="295"/>
      <c r="Z315" s="295"/>
      <c r="AA315" s="295"/>
      <c r="AB315" s="295"/>
      <c r="AC315" s="295"/>
      <c r="AD315" s="295"/>
      <c r="AE315" s="295"/>
      <c r="AF315" s="295"/>
      <c r="AG315" s="295"/>
      <c r="AH315" s="295"/>
      <c r="AI315" s="295"/>
      <c r="AJ315" s="295"/>
      <c r="AK315" s="295"/>
      <c r="AL315" s="295"/>
      <c r="AM315" s="295"/>
      <c r="AN315" s="295"/>
      <c r="AO315" s="295"/>
      <c r="AP315" s="295"/>
      <c r="AQ315" s="295"/>
      <c r="AR315" s="295"/>
      <c r="AS315" s="295"/>
      <c r="AT315" s="295"/>
      <c r="AU315" s="295"/>
      <c r="AV315" s="295"/>
      <c r="AW315" s="295"/>
      <c r="AX315" s="295"/>
      <c r="AY315" s="295"/>
      <c r="AZ315" s="295"/>
      <c r="BA315" s="295"/>
      <c r="BB315" s="295"/>
      <c r="BC315" s="295"/>
      <c r="BD315" s="295"/>
      <c r="BE315" s="295"/>
      <c r="BF315" s="295"/>
      <c r="BG315" s="295"/>
      <c r="BH315" s="295"/>
      <c r="BI315" s="295"/>
      <c r="BJ315" s="295"/>
      <c r="BK315" s="295"/>
      <c r="BL315" s="295"/>
      <c r="BM315" s="295"/>
      <c r="BN315" s="295"/>
      <c r="BO315" s="295"/>
      <c r="BP315" s="295"/>
      <c r="BQ315" s="295"/>
      <c r="BR315" s="295"/>
      <c r="BS315" s="295"/>
      <c r="BT315" s="295"/>
      <c r="BU315" s="295"/>
      <c r="BV315" s="295"/>
      <c r="BW315" s="295"/>
      <c r="BX315" s="295"/>
      <c r="BY315" s="295"/>
      <c r="BZ315" s="295"/>
      <c r="CA315" s="295"/>
      <c r="CB315" s="295"/>
      <c r="CC315" s="295"/>
      <c r="CD315" s="295"/>
      <c r="CE315" s="295"/>
      <c r="CF315" s="295"/>
      <c r="CG315" s="295"/>
      <c r="CH315" s="295"/>
      <c r="CI315" s="295"/>
      <c r="CJ315" s="295"/>
      <c r="CK315" s="295"/>
      <c r="CL315" s="295"/>
      <c r="CM315" s="295"/>
      <c r="CN315" s="295"/>
      <c r="CO315" s="295"/>
      <c r="CP315" s="295"/>
      <c r="CQ315" s="295"/>
      <c r="CR315" s="295"/>
      <c r="CS315" s="295"/>
      <c r="CT315" s="295"/>
      <c r="CU315" s="295"/>
      <c r="CV315" s="295"/>
      <c r="CW315" s="295"/>
      <c r="CX315" s="295"/>
      <c r="CY315" s="295"/>
      <c r="CZ315" s="295"/>
      <c r="DA315" s="295"/>
      <c r="DB315" s="295"/>
      <c r="DC315" s="295"/>
      <c r="DD315" s="295"/>
      <c r="DE315" s="295"/>
      <c r="DF315" s="295"/>
      <c r="DG315" s="295"/>
      <c r="DH315" s="295"/>
      <c r="DI315" s="295"/>
      <c r="DJ315" s="295"/>
      <c r="DK315" s="295"/>
      <c r="DL315" s="295"/>
      <c r="DM315" s="295"/>
      <c r="DN315" s="295"/>
      <c r="DO315" s="295"/>
      <c r="DP315" s="295"/>
      <c r="DQ315" s="295"/>
      <c r="DR315" s="295"/>
      <c r="DS315" s="295"/>
      <c r="DT315" s="295"/>
      <c r="DU315" s="295"/>
      <c r="DV315" s="295"/>
      <c r="DW315" s="295"/>
      <c r="DX315" s="295"/>
      <c r="DY315" s="295"/>
      <c r="DZ315" s="295"/>
    </row>
    <row r="316" spans="1:130" s="528" customFormat="1" ht="39" hidden="1" customHeight="1">
      <c r="A316" s="2587"/>
      <c r="B316" s="2650"/>
      <c r="C316" s="2589"/>
      <c r="D316" s="752" t="s">
        <v>3864</v>
      </c>
      <c r="E316" s="753"/>
      <c r="F316" s="755"/>
      <c r="G316" s="753"/>
      <c r="H316" s="753"/>
      <c r="I316" s="753"/>
      <c r="J316" s="754">
        <f>SUM(J312,J313,J314,J315)</f>
        <v>402.06700000000001</v>
      </c>
      <c r="K316" s="753">
        <f>SUM(K312,K313,K314,K315)</f>
        <v>196.40600000000001</v>
      </c>
      <c r="L316" s="753">
        <f>SUM(L312,L313,L314,L315)</f>
        <v>0</v>
      </c>
      <c r="M316" s="753">
        <f>SUM(M312,M313,M314,M315)</f>
        <v>0</v>
      </c>
      <c r="N316" s="2523"/>
      <c r="O316" s="2524"/>
      <c r="P316" s="2488"/>
      <c r="Q316" s="2512"/>
      <c r="R316" s="2513"/>
      <c r="S316" s="2513"/>
      <c r="T316" s="2513"/>
      <c r="U316" s="2514"/>
      <c r="V316" s="218"/>
      <c r="W316" s="2519"/>
      <c r="Y316" s="295"/>
      <c r="Z316" s="295"/>
      <c r="AA316" s="295"/>
      <c r="AB316" s="295"/>
      <c r="AC316" s="295"/>
      <c r="AD316" s="295"/>
      <c r="AE316" s="295"/>
      <c r="AF316" s="295"/>
      <c r="AG316" s="295"/>
      <c r="AH316" s="295"/>
      <c r="AI316" s="295"/>
      <c r="AJ316" s="295"/>
      <c r="AK316" s="295"/>
      <c r="AL316" s="295"/>
      <c r="AM316" s="295"/>
      <c r="AN316" s="295"/>
      <c r="AO316" s="295"/>
      <c r="AP316" s="295"/>
      <c r="AQ316" s="295"/>
      <c r="AR316" s="295"/>
      <c r="AS316" s="295"/>
      <c r="AT316" s="295"/>
      <c r="AU316" s="295"/>
      <c r="AV316" s="295"/>
      <c r="AW316" s="295"/>
      <c r="AX316" s="295"/>
      <c r="AY316" s="295"/>
      <c r="AZ316" s="295"/>
      <c r="BA316" s="295"/>
      <c r="BB316" s="295"/>
      <c r="BC316" s="295"/>
      <c r="BD316" s="295"/>
      <c r="BE316" s="295"/>
      <c r="BF316" s="295"/>
      <c r="BG316" s="295"/>
      <c r="BH316" s="295"/>
      <c r="BI316" s="295"/>
      <c r="BJ316" s="295"/>
      <c r="BK316" s="295"/>
      <c r="BL316" s="295"/>
      <c r="BM316" s="295"/>
      <c r="BN316" s="295"/>
      <c r="BO316" s="295"/>
      <c r="BP316" s="295"/>
      <c r="BQ316" s="295"/>
      <c r="BR316" s="295"/>
      <c r="BS316" s="295"/>
      <c r="BT316" s="295"/>
      <c r="BU316" s="295"/>
      <c r="BV316" s="295"/>
      <c r="BW316" s="295"/>
      <c r="BX316" s="295"/>
      <c r="BY316" s="295"/>
      <c r="BZ316" s="295"/>
      <c r="CA316" s="295"/>
      <c r="CB316" s="295"/>
      <c r="CC316" s="295"/>
      <c r="CD316" s="295"/>
      <c r="CE316" s="295"/>
      <c r="CF316" s="295"/>
      <c r="CG316" s="295"/>
      <c r="CH316" s="295"/>
      <c r="CI316" s="295"/>
      <c r="CJ316" s="295"/>
      <c r="CK316" s="295"/>
      <c r="CL316" s="295"/>
      <c r="CM316" s="295"/>
      <c r="CN316" s="295"/>
      <c r="CO316" s="295"/>
      <c r="CP316" s="295"/>
      <c r="CQ316" s="295"/>
      <c r="CR316" s="295"/>
      <c r="CS316" s="295"/>
      <c r="CT316" s="295"/>
      <c r="CU316" s="295"/>
      <c r="CV316" s="295"/>
      <c r="CW316" s="295"/>
      <c r="CX316" s="295"/>
      <c r="CY316" s="295"/>
      <c r="CZ316" s="295"/>
      <c r="DA316" s="295"/>
      <c r="DB316" s="295"/>
      <c r="DC316" s="295"/>
      <c r="DD316" s="295"/>
      <c r="DE316" s="295"/>
      <c r="DF316" s="295"/>
      <c r="DG316" s="295"/>
      <c r="DH316" s="295"/>
      <c r="DI316" s="295"/>
      <c r="DJ316" s="295"/>
      <c r="DK316" s="295"/>
      <c r="DL316" s="295"/>
      <c r="DM316" s="295"/>
      <c r="DN316" s="295"/>
      <c r="DO316" s="295"/>
      <c r="DP316" s="295"/>
      <c r="DQ316" s="295"/>
      <c r="DR316" s="295"/>
      <c r="DS316" s="295"/>
      <c r="DT316" s="295"/>
      <c r="DU316" s="295"/>
      <c r="DV316" s="295"/>
      <c r="DW316" s="295"/>
      <c r="DX316" s="295"/>
      <c r="DY316" s="295"/>
      <c r="DZ316" s="295"/>
    </row>
    <row r="317" spans="1:130" s="528" customFormat="1" ht="39" hidden="1" customHeight="1">
      <c r="A317" s="2590"/>
      <c r="B317" s="2648" t="s">
        <v>1085</v>
      </c>
      <c r="C317" s="2591"/>
      <c r="D317" s="512" t="s">
        <v>246</v>
      </c>
      <c r="E317" s="513"/>
      <c r="F317" s="553"/>
      <c r="G317" s="513"/>
      <c r="H317" s="513"/>
      <c r="I317" s="513"/>
      <c r="J317" s="515">
        <v>477.57799999999997</v>
      </c>
      <c r="K317" s="513">
        <v>413.09</v>
      </c>
      <c r="L317" s="513">
        <v>48.301000000000002</v>
      </c>
      <c r="M317" s="513"/>
      <c r="N317" s="2523"/>
      <c r="O317" s="2524"/>
      <c r="P317" s="2488"/>
      <c r="Q317" s="2512"/>
      <c r="R317" s="2513"/>
      <c r="S317" s="2513"/>
      <c r="T317" s="2513"/>
      <c r="U317" s="2514"/>
      <c r="V317" s="218"/>
      <c r="W317" s="2519"/>
      <c r="Y317" s="295"/>
      <c r="Z317" s="295"/>
      <c r="AA317" s="295"/>
      <c r="AB317" s="295"/>
      <c r="AC317" s="295"/>
      <c r="AD317" s="295"/>
      <c r="AE317" s="295"/>
      <c r="AF317" s="295"/>
      <c r="AG317" s="295"/>
      <c r="AH317" s="295"/>
      <c r="AI317" s="295"/>
      <c r="AJ317" s="295"/>
      <c r="AK317" s="295"/>
      <c r="AL317" s="295"/>
      <c r="AM317" s="295"/>
      <c r="AN317" s="295"/>
      <c r="AO317" s="295"/>
      <c r="AP317" s="295"/>
      <c r="AQ317" s="295"/>
      <c r="AR317" s="295"/>
      <c r="AS317" s="295"/>
      <c r="AT317" s="295"/>
      <c r="AU317" s="295"/>
      <c r="AV317" s="295"/>
      <c r="AW317" s="295"/>
      <c r="AX317" s="295"/>
      <c r="AY317" s="295"/>
      <c r="AZ317" s="295"/>
      <c r="BA317" s="295"/>
      <c r="BB317" s="295"/>
      <c r="BC317" s="295"/>
      <c r="BD317" s="295"/>
      <c r="BE317" s="295"/>
      <c r="BF317" s="295"/>
      <c r="BG317" s="295"/>
      <c r="BH317" s="295"/>
      <c r="BI317" s="295"/>
      <c r="BJ317" s="295"/>
      <c r="BK317" s="295"/>
      <c r="BL317" s="295"/>
      <c r="BM317" s="295"/>
      <c r="BN317" s="295"/>
      <c r="BO317" s="295"/>
      <c r="BP317" s="295"/>
      <c r="BQ317" s="295"/>
      <c r="BR317" s="295"/>
      <c r="BS317" s="295"/>
      <c r="BT317" s="295"/>
      <c r="BU317" s="295"/>
      <c r="BV317" s="295"/>
      <c r="BW317" s="295"/>
      <c r="BX317" s="295"/>
      <c r="BY317" s="295"/>
      <c r="BZ317" s="295"/>
      <c r="CA317" s="295"/>
      <c r="CB317" s="295"/>
      <c r="CC317" s="295"/>
      <c r="CD317" s="295"/>
      <c r="CE317" s="295"/>
      <c r="CF317" s="295"/>
      <c r="CG317" s="295"/>
      <c r="CH317" s="295"/>
      <c r="CI317" s="295"/>
      <c r="CJ317" s="295"/>
      <c r="CK317" s="295"/>
      <c r="CL317" s="295"/>
      <c r="CM317" s="295"/>
      <c r="CN317" s="295"/>
      <c r="CO317" s="295"/>
      <c r="CP317" s="295"/>
      <c r="CQ317" s="295"/>
      <c r="CR317" s="295"/>
      <c r="CS317" s="295"/>
      <c r="CT317" s="295"/>
      <c r="CU317" s="295"/>
      <c r="CV317" s="295"/>
      <c r="CW317" s="295"/>
      <c r="CX317" s="295"/>
      <c r="CY317" s="295"/>
      <c r="CZ317" s="295"/>
      <c r="DA317" s="295"/>
      <c r="DB317" s="295"/>
      <c r="DC317" s="295"/>
      <c r="DD317" s="295"/>
      <c r="DE317" s="295"/>
      <c r="DF317" s="295"/>
      <c r="DG317" s="295"/>
      <c r="DH317" s="295"/>
      <c r="DI317" s="295"/>
      <c r="DJ317" s="295"/>
      <c r="DK317" s="295"/>
      <c r="DL317" s="295"/>
      <c r="DM317" s="295"/>
      <c r="DN317" s="295"/>
      <c r="DO317" s="295"/>
      <c r="DP317" s="295"/>
      <c r="DQ317" s="295"/>
      <c r="DR317" s="295"/>
      <c r="DS317" s="295"/>
      <c r="DT317" s="295"/>
      <c r="DU317" s="295"/>
      <c r="DV317" s="295"/>
      <c r="DW317" s="295"/>
      <c r="DX317" s="295"/>
      <c r="DY317" s="295"/>
      <c r="DZ317" s="295"/>
    </row>
    <row r="318" spans="1:130" s="528" customFormat="1" ht="39" hidden="1" customHeight="1">
      <c r="A318" s="2586"/>
      <c r="B318" s="2649"/>
      <c r="C318" s="2588"/>
      <c r="D318" s="512" t="s">
        <v>413</v>
      </c>
      <c r="E318" s="513"/>
      <c r="F318" s="553"/>
      <c r="G318" s="513"/>
      <c r="H318" s="513"/>
      <c r="I318" s="513"/>
      <c r="J318" s="515"/>
      <c r="K318" s="513"/>
      <c r="L318" s="513"/>
      <c r="M318" s="513"/>
      <c r="N318" s="2523"/>
      <c r="O318" s="2524"/>
      <c r="P318" s="2488"/>
      <c r="Q318" s="2512"/>
      <c r="R318" s="2513"/>
      <c r="S318" s="2513"/>
      <c r="T318" s="2513"/>
      <c r="U318" s="2514"/>
      <c r="V318" s="218"/>
      <c r="W318" s="2519"/>
      <c r="Y318" s="295"/>
      <c r="Z318" s="295"/>
      <c r="AA318" s="295"/>
      <c r="AB318" s="295"/>
      <c r="AC318" s="295"/>
      <c r="AD318" s="295"/>
      <c r="AE318" s="295"/>
      <c r="AF318" s="295"/>
      <c r="AG318" s="295"/>
      <c r="AH318" s="295"/>
      <c r="AI318" s="295"/>
      <c r="AJ318" s="295"/>
      <c r="AK318" s="295"/>
      <c r="AL318" s="295"/>
      <c r="AM318" s="295"/>
      <c r="AN318" s="295"/>
      <c r="AO318" s="295"/>
      <c r="AP318" s="295"/>
      <c r="AQ318" s="295"/>
      <c r="AR318" s="295"/>
      <c r="AS318" s="295"/>
      <c r="AT318" s="295"/>
      <c r="AU318" s="295"/>
      <c r="AV318" s="295"/>
      <c r="AW318" s="295"/>
      <c r="AX318" s="295"/>
      <c r="AY318" s="295"/>
      <c r="AZ318" s="295"/>
      <c r="BA318" s="295"/>
      <c r="BB318" s="295"/>
      <c r="BC318" s="295"/>
      <c r="BD318" s="295"/>
      <c r="BE318" s="295"/>
      <c r="BF318" s="295"/>
      <c r="BG318" s="295"/>
      <c r="BH318" s="295"/>
      <c r="BI318" s="295"/>
      <c r="BJ318" s="295"/>
      <c r="BK318" s="295"/>
      <c r="BL318" s="295"/>
      <c r="BM318" s="295"/>
      <c r="BN318" s="295"/>
      <c r="BO318" s="295"/>
      <c r="BP318" s="295"/>
      <c r="BQ318" s="295"/>
      <c r="BR318" s="295"/>
      <c r="BS318" s="295"/>
      <c r="BT318" s="295"/>
      <c r="BU318" s="295"/>
      <c r="BV318" s="295"/>
      <c r="BW318" s="295"/>
      <c r="BX318" s="295"/>
      <c r="BY318" s="295"/>
      <c r="BZ318" s="295"/>
      <c r="CA318" s="295"/>
      <c r="CB318" s="295"/>
      <c r="CC318" s="295"/>
      <c r="CD318" s="295"/>
      <c r="CE318" s="295"/>
      <c r="CF318" s="295"/>
      <c r="CG318" s="295"/>
      <c r="CH318" s="295"/>
      <c r="CI318" s="295"/>
      <c r="CJ318" s="295"/>
      <c r="CK318" s="295"/>
      <c r="CL318" s="295"/>
      <c r="CM318" s="295"/>
      <c r="CN318" s="295"/>
      <c r="CO318" s="295"/>
      <c r="CP318" s="295"/>
      <c r="CQ318" s="295"/>
      <c r="CR318" s="295"/>
      <c r="CS318" s="295"/>
      <c r="CT318" s="295"/>
      <c r="CU318" s="295"/>
      <c r="CV318" s="295"/>
      <c r="CW318" s="295"/>
      <c r="CX318" s="295"/>
      <c r="CY318" s="295"/>
      <c r="CZ318" s="295"/>
      <c r="DA318" s="295"/>
      <c r="DB318" s="295"/>
      <c r="DC318" s="295"/>
      <c r="DD318" s="295"/>
      <c r="DE318" s="295"/>
      <c r="DF318" s="295"/>
      <c r="DG318" s="295"/>
      <c r="DH318" s="295"/>
      <c r="DI318" s="295"/>
      <c r="DJ318" s="295"/>
      <c r="DK318" s="295"/>
      <c r="DL318" s="295"/>
      <c r="DM318" s="295"/>
      <c r="DN318" s="295"/>
      <c r="DO318" s="295"/>
      <c r="DP318" s="295"/>
      <c r="DQ318" s="295"/>
      <c r="DR318" s="295"/>
      <c r="DS318" s="295"/>
      <c r="DT318" s="295"/>
      <c r="DU318" s="295"/>
      <c r="DV318" s="295"/>
      <c r="DW318" s="295"/>
      <c r="DX318" s="295"/>
      <c r="DY318" s="295"/>
      <c r="DZ318" s="295"/>
    </row>
    <row r="319" spans="1:130" s="528" customFormat="1" ht="39" hidden="1" customHeight="1">
      <c r="A319" s="2586"/>
      <c r="B319" s="2649"/>
      <c r="C319" s="2588"/>
      <c r="D319" s="512" t="s">
        <v>2928</v>
      </c>
      <c r="E319" s="513"/>
      <c r="F319" s="553"/>
      <c r="G319" s="513"/>
      <c r="H319" s="513"/>
      <c r="I319" s="513"/>
      <c r="J319" s="515">
        <v>325.82100000000003</v>
      </c>
      <c r="K319" s="513">
        <v>293.52600000000001</v>
      </c>
      <c r="L319" s="513">
        <v>34.493000000000002</v>
      </c>
      <c r="M319" s="513"/>
      <c r="N319" s="2523"/>
      <c r="O319" s="2524"/>
      <c r="P319" s="2488"/>
      <c r="Q319" s="2512"/>
      <c r="R319" s="2513"/>
      <c r="S319" s="2513"/>
      <c r="T319" s="2513"/>
      <c r="U319" s="2514"/>
      <c r="V319" s="218"/>
      <c r="W319" s="2519"/>
      <c r="Y319" s="295"/>
      <c r="Z319" s="295"/>
      <c r="AA319" s="295"/>
      <c r="AB319" s="295"/>
      <c r="AC319" s="295"/>
      <c r="AD319" s="295"/>
      <c r="AE319" s="295"/>
      <c r="AF319" s="295"/>
      <c r="AG319" s="295"/>
      <c r="AH319" s="295"/>
      <c r="AI319" s="295"/>
      <c r="AJ319" s="295"/>
      <c r="AK319" s="295"/>
      <c r="AL319" s="295"/>
      <c r="AM319" s="295"/>
      <c r="AN319" s="295"/>
      <c r="AO319" s="295"/>
      <c r="AP319" s="295"/>
      <c r="AQ319" s="295"/>
      <c r="AR319" s="295"/>
      <c r="AS319" s="295"/>
      <c r="AT319" s="295"/>
      <c r="AU319" s="295"/>
      <c r="AV319" s="295"/>
      <c r="AW319" s="295"/>
      <c r="AX319" s="295"/>
      <c r="AY319" s="295"/>
      <c r="AZ319" s="295"/>
      <c r="BA319" s="295"/>
      <c r="BB319" s="295"/>
      <c r="BC319" s="295"/>
      <c r="BD319" s="295"/>
      <c r="BE319" s="295"/>
      <c r="BF319" s="295"/>
      <c r="BG319" s="295"/>
      <c r="BH319" s="295"/>
      <c r="BI319" s="295"/>
      <c r="BJ319" s="295"/>
      <c r="BK319" s="295"/>
      <c r="BL319" s="295"/>
      <c r="BM319" s="295"/>
      <c r="BN319" s="295"/>
      <c r="BO319" s="295"/>
      <c r="BP319" s="295"/>
      <c r="BQ319" s="295"/>
      <c r="BR319" s="295"/>
      <c r="BS319" s="295"/>
      <c r="BT319" s="295"/>
      <c r="BU319" s="295"/>
      <c r="BV319" s="295"/>
      <c r="BW319" s="295"/>
      <c r="BX319" s="295"/>
      <c r="BY319" s="295"/>
      <c r="BZ319" s="295"/>
      <c r="CA319" s="295"/>
      <c r="CB319" s="295"/>
      <c r="CC319" s="295"/>
      <c r="CD319" s="295"/>
      <c r="CE319" s="295"/>
      <c r="CF319" s="295"/>
      <c r="CG319" s="295"/>
      <c r="CH319" s="295"/>
      <c r="CI319" s="295"/>
      <c r="CJ319" s="295"/>
      <c r="CK319" s="295"/>
      <c r="CL319" s="295"/>
      <c r="CM319" s="295"/>
      <c r="CN319" s="295"/>
      <c r="CO319" s="295"/>
      <c r="CP319" s="295"/>
      <c r="CQ319" s="295"/>
      <c r="CR319" s="295"/>
      <c r="CS319" s="295"/>
      <c r="CT319" s="295"/>
      <c r="CU319" s="295"/>
      <c r="CV319" s="295"/>
      <c r="CW319" s="295"/>
      <c r="CX319" s="295"/>
      <c r="CY319" s="295"/>
      <c r="CZ319" s="295"/>
      <c r="DA319" s="295"/>
      <c r="DB319" s="295"/>
      <c r="DC319" s="295"/>
      <c r="DD319" s="295"/>
      <c r="DE319" s="295"/>
      <c r="DF319" s="295"/>
      <c r="DG319" s="295"/>
      <c r="DH319" s="295"/>
      <c r="DI319" s="295"/>
      <c r="DJ319" s="295"/>
      <c r="DK319" s="295"/>
      <c r="DL319" s="295"/>
      <c r="DM319" s="295"/>
      <c r="DN319" s="295"/>
      <c r="DO319" s="295"/>
      <c r="DP319" s="295"/>
      <c r="DQ319" s="295"/>
      <c r="DR319" s="295"/>
      <c r="DS319" s="295"/>
      <c r="DT319" s="295"/>
      <c r="DU319" s="295"/>
      <c r="DV319" s="295"/>
      <c r="DW319" s="295"/>
      <c r="DX319" s="295"/>
      <c r="DY319" s="295"/>
      <c r="DZ319" s="295"/>
    </row>
    <row r="320" spans="1:130" s="528" customFormat="1" ht="39" hidden="1" customHeight="1">
      <c r="A320" s="2586"/>
      <c r="B320" s="2649"/>
      <c r="C320" s="2588"/>
      <c r="D320" s="512" t="s">
        <v>3279</v>
      </c>
      <c r="E320" s="513"/>
      <c r="F320" s="553"/>
      <c r="G320" s="513"/>
      <c r="H320" s="513"/>
      <c r="I320" s="513"/>
      <c r="J320" s="515"/>
      <c r="K320" s="513"/>
      <c r="L320" s="513"/>
      <c r="M320" s="513"/>
      <c r="N320" s="2523"/>
      <c r="O320" s="2524"/>
      <c r="P320" s="2488"/>
      <c r="Q320" s="2512"/>
      <c r="R320" s="2513"/>
      <c r="S320" s="2513"/>
      <c r="T320" s="2513"/>
      <c r="U320" s="2514"/>
      <c r="V320" s="218"/>
      <c r="W320" s="2519"/>
      <c r="Y320" s="295"/>
      <c r="Z320" s="295"/>
      <c r="AA320" s="295"/>
      <c r="AB320" s="295"/>
      <c r="AC320" s="295"/>
      <c r="AD320" s="295"/>
      <c r="AE320" s="295"/>
      <c r="AF320" s="295"/>
      <c r="AG320" s="295"/>
      <c r="AH320" s="295"/>
      <c r="AI320" s="295"/>
      <c r="AJ320" s="295"/>
      <c r="AK320" s="295"/>
      <c r="AL320" s="295"/>
      <c r="AM320" s="295"/>
      <c r="AN320" s="295"/>
      <c r="AO320" s="295"/>
      <c r="AP320" s="295"/>
      <c r="AQ320" s="295"/>
      <c r="AR320" s="295"/>
      <c r="AS320" s="295"/>
      <c r="AT320" s="295"/>
      <c r="AU320" s="295"/>
      <c r="AV320" s="295"/>
      <c r="AW320" s="295"/>
      <c r="AX320" s="295"/>
      <c r="AY320" s="295"/>
      <c r="AZ320" s="295"/>
      <c r="BA320" s="295"/>
      <c r="BB320" s="295"/>
      <c r="BC320" s="295"/>
      <c r="BD320" s="295"/>
      <c r="BE320" s="295"/>
      <c r="BF320" s="295"/>
      <c r="BG320" s="295"/>
      <c r="BH320" s="295"/>
      <c r="BI320" s="295"/>
      <c r="BJ320" s="295"/>
      <c r="BK320" s="295"/>
      <c r="BL320" s="295"/>
      <c r="BM320" s="295"/>
      <c r="BN320" s="295"/>
      <c r="BO320" s="295"/>
      <c r="BP320" s="295"/>
      <c r="BQ320" s="295"/>
      <c r="BR320" s="295"/>
      <c r="BS320" s="295"/>
      <c r="BT320" s="295"/>
      <c r="BU320" s="295"/>
      <c r="BV320" s="295"/>
      <c r="BW320" s="295"/>
      <c r="BX320" s="295"/>
      <c r="BY320" s="295"/>
      <c r="BZ320" s="295"/>
      <c r="CA320" s="295"/>
      <c r="CB320" s="295"/>
      <c r="CC320" s="295"/>
      <c r="CD320" s="295"/>
      <c r="CE320" s="295"/>
      <c r="CF320" s="295"/>
      <c r="CG320" s="295"/>
      <c r="CH320" s="295"/>
      <c r="CI320" s="295"/>
      <c r="CJ320" s="295"/>
      <c r="CK320" s="295"/>
      <c r="CL320" s="295"/>
      <c r="CM320" s="295"/>
      <c r="CN320" s="295"/>
      <c r="CO320" s="295"/>
      <c r="CP320" s="295"/>
      <c r="CQ320" s="295"/>
      <c r="CR320" s="295"/>
      <c r="CS320" s="295"/>
      <c r="CT320" s="295"/>
      <c r="CU320" s="295"/>
      <c r="CV320" s="295"/>
      <c r="CW320" s="295"/>
      <c r="CX320" s="295"/>
      <c r="CY320" s="295"/>
      <c r="CZ320" s="295"/>
      <c r="DA320" s="295"/>
      <c r="DB320" s="295"/>
      <c r="DC320" s="295"/>
      <c r="DD320" s="295"/>
      <c r="DE320" s="295"/>
      <c r="DF320" s="295"/>
      <c r="DG320" s="295"/>
      <c r="DH320" s="295"/>
      <c r="DI320" s="295"/>
      <c r="DJ320" s="295"/>
      <c r="DK320" s="295"/>
      <c r="DL320" s="295"/>
      <c r="DM320" s="295"/>
      <c r="DN320" s="295"/>
      <c r="DO320" s="295"/>
      <c r="DP320" s="295"/>
      <c r="DQ320" s="295"/>
      <c r="DR320" s="295"/>
      <c r="DS320" s="295"/>
      <c r="DT320" s="295"/>
      <c r="DU320" s="295"/>
      <c r="DV320" s="295"/>
      <c r="DW320" s="295"/>
      <c r="DX320" s="295"/>
      <c r="DY320" s="295"/>
      <c r="DZ320" s="295"/>
    </row>
    <row r="321" spans="1:130" s="528" customFormat="1" ht="39" hidden="1" customHeight="1">
      <c r="A321" s="2587"/>
      <c r="B321" s="2650"/>
      <c r="C321" s="2589"/>
      <c r="D321" s="752" t="s">
        <v>3864</v>
      </c>
      <c r="E321" s="753"/>
      <c r="F321" s="755"/>
      <c r="G321" s="753"/>
      <c r="H321" s="753"/>
      <c r="I321" s="753"/>
      <c r="J321" s="754">
        <f>SUM(J317,J318,J319,J320)</f>
        <v>803.399</v>
      </c>
      <c r="K321" s="753">
        <f>SUM(K317,K318,K319,K320)</f>
        <v>706.61599999999999</v>
      </c>
      <c r="L321" s="753">
        <f>SUM(L317,L318,L319,L320)</f>
        <v>82.794000000000011</v>
      </c>
      <c r="M321" s="753">
        <f>SUM(M317,M318,M319,M320)</f>
        <v>0</v>
      </c>
      <c r="N321" s="2523"/>
      <c r="O321" s="2524"/>
      <c r="P321" s="2488"/>
      <c r="Q321" s="2512"/>
      <c r="R321" s="2513"/>
      <c r="S321" s="2513"/>
      <c r="T321" s="2513"/>
      <c r="U321" s="2514"/>
      <c r="V321" s="218"/>
      <c r="W321" s="2519"/>
      <c r="Y321" s="295"/>
      <c r="Z321" s="295"/>
      <c r="AA321" s="295"/>
      <c r="AB321" s="295"/>
      <c r="AC321" s="295"/>
      <c r="AD321" s="295"/>
      <c r="AE321" s="295"/>
      <c r="AF321" s="295"/>
      <c r="AG321" s="295"/>
      <c r="AH321" s="295"/>
      <c r="AI321" s="295"/>
      <c r="AJ321" s="295"/>
      <c r="AK321" s="295"/>
      <c r="AL321" s="295"/>
      <c r="AM321" s="295"/>
      <c r="AN321" s="295"/>
      <c r="AO321" s="295"/>
      <c r="AP321" s="295"/>
      <c r="AQ321" s="295"/>
      <c r="AR321" s="295"/>
      <c r="AS321" s="295"/>
      <c r="AT321" s="295"/>
      <c r="AU321" s="295"/>
      <c r="AV321" s="295"/>
      <c r="AW321" s="295"/>
      <c r="AX321" s="295"/>
      <c r="AY321" s="295"/>
      <c r="AZ321" s="295"/>
      <c r="BA321" s="295"/>
      <c r="BB321" s="295"/>
      <c r="BC321" s="295"/>
      <c r="BD321" s="295"/>
      <c r="BE321" s="295"/>
      <c r="BF321" s="295"/>
      <c r="BG321" s="295"/>
      <c r="BH321" s="295"/>
      <c r="BI321" s="295"/>
      <c r="BJ321" s="295"/>
      <c r="BK321" s="295"/>
      <c r="BL321" s="295"/>
      <c r="BM321" s="295"/>
      <c r="BN321" s="295"/>
      <c r="BO321" s="295"/>
      <c r="BP321" s="295"/>
      <c r="BQ321" s="295"/>
      <c r="BR321" s="295"/>
      <c r="BS321" s="295"/>
      <c r="BT321" s="295"/>
      <c r="BU321" s="295"/>
      <c r="BV321" s="295"/>
      <c r="BW321" s="295"/>
      <c r="BX321" s="295"/>
      <c r="BY321" s="295"/>
      <c r="BZ321" s="295"/>
      <c r="CA321" s="295"/>
      <c r="CB321" s="295"/>
      <c r="CC321" s="295"/>
      <c r="CD321" s="295"/>
      <c r="CE321" s="295"/>
      <c r="CF321" s="295"/>
      <c r="CG321" s="295"/>
      <c r="CH321" s="295"/>
      <c r="CI321" s="295"/>
      <c r="CJ321" s="295"/>
      <c r="CK321" s="295"/>
      <c r="CL321" s="295"/>
      <c r="CM321" s="295"/>
      <c r="CN321" s="295"/>
      <c r="CO321" s="295"/>
      <c r="CP321" s="295"/>
      <c r="CQ321" s="295"/>
      <c r="CR321" s="295"/>
      <c r="CS321" s="295"/>
      <c r="CT321" s="295"/>
      <c r="CU321" s="295"/>
      <c r="CV321" s="295"/>
      <c r="CW321" s="295"/>
      <c r="CX321" s="295"/>
      <c r="CY321" s="295"/>
      <c r="CZ321" s="295"/>
      <c r="DA321" s="295"/>
      <c r="DB321" s="295"/>
      <c r="DC321" s="295"/>
      <c r="DD321" s="295"/>
      <c r="DE321" s="295"/>
      <c r="DF321" s="295"/>
      <c r="DG321" s="295"/>
      <c r="DH321" s="295"/>
      <c r="DI321" s="295"/>
      <c r="DJ321" s="295"/>
      <c r="DK321" s="295"/>
      <c r="DL321" s="295"/>
      <c r="DM321" s="295"/>
      <c r="DN321" s="295"/>
      <c r="DO321" s="295"/>
      <c r="DP321" s="295"/>
      <c r="DQ321" s="295"/>
      <c r="DR321" s="295"/>
      <c r="DS321" s="295"/>
      <c r="DT321" s="295"/>
      <c r="DU321" s="295"/>
      <c r="DV321" s="295"/>
      <c r="DW321" s="295"/>
      <c r="DX321" s="295"/>
      <c r="DY321" s="295"/>
      <c r="DZ321" s="295"/>
    </row>
    <row r="322" spans="1:130" s="528" customFormat="1" ht="39" hidden="1" customHeight="1">
      <c r="A322" s="2590"/>
      <c r="B322" s="2648" t="s">
        <v>2703</v>
      </c>
      <c r="C322" s="2591"/>
      <c r="D322" s="512" t="s">
        <v>246</v>
      </c>
      <c r="E322" s="514"/>
      <c r="F322" s="532"/>
      <c r="G322" s="514"/>
      <c r="H322" s="514"/>
      <c r="I322" s="513"/>
      <c r="J322" s="515">
        <v>53.848999999999997</v>
      </c>
      <c r="K322" s="513">
        <v>48.643999999999998</v>
      </c>
      <c r="L322" s="513">
        <v>3.375</v>
      </c>
      <c r="M322" s="514"/>
      <c r="N322" s="2523"/>
      <c r="O322" s="2524"/>
      <c r="P322" s="2488"/>
      <c r="Q322" s="2512"/>
      <c r="R322" s="2513"/>
      <c r="S322" s="2513"/>
      <c r="T322" s="2513"/>
      <c r="U322" s="2514"/>
      <c r="V322" s="218"/>
      <c r="W322" s="2519"/>
      <c r="Y322" s="295"/>
      <c r="Z322" s="295"/>
      <c r="AA322" s="295"/>
      <c r="AB322" s="295"/>
      <c r="AC322" s="295"/>
      <c r="AD322" s="295"/>
      <c r="AE322" s="295"/>
      <c r="AF322" s="295"/>
      <c r="AG322" s="295"/>
      <c r="AH322" s="295"/>
      <c r="AI322" s="295"/>
      <c r="AJ322" s="295"/>
      <c r="AK322" s="295"/>
      <c r="AL322" s="295"/>
      <c r="AM322" s="295"/>
      <c r="AN322" s="295"/>
      <c r="AO322" s="295"/>
      <c r="AP322" s="295"/>
      <c r="AQ322" s="295"/>
      <c r="AR322" s="295"/>
      <c r="AS322" s="295"/>
      <c r="AT322" s="295"/>
      <c r="AU322" s="295"/>
      <c r="AV322" s="295"/>
      <c r="AW322" s="295"/>
      <c r="AX322" s="295"/>
      <c r="AY322" s="295"/>
      <c r="AZ322" s="295"/>
      <c r="BA322" s="295"/>
      <c r="BB322" s="295"/>
      <c r="BC322" s="295"/>
      <c r="BD322" s="295"/>
      <c r="BE322" s="295"/>
      <c r="BF322" s="295"/>
      <c r="BG322" s="295"/>
      <c r="BH322" s="295"/>
      <c r="BI322" s="295"/>
      <c r="BJ322" s="295"/>
      <c r="BK322" s="295"/>
      <c r="BL322" s="295"/>
      <c r="BM322" s="295"/>
      <c r="BN322" s="295"/>
      <c r="BO322" s="295"/>
      <c r="BP322" s="295"/>
      <c r="BQ322" s="295"/>
      <c r="BR322" s="295"/>
      <c r="BS322" s="295"/>
      <c r="BT322" s="295"/>
      <c r="BU322" s="295"/>
      <c r="BV322" s="295"/>
      <c r="BW322" s="295"/>
      <c r="BX322" s="295"/>
      <c r="BY322" s="295"/>
      <c r="BZ322" s="295"/>
      <c r="CA322" s="295"/>
      <c r="CB322" s="295"/>
      <c r="CC322" s="295"/>
      <c r="CD322" s="295"/>
      <c r="CE322" s="295"/>
      <c r="CF322" s="295"/>
      <c r="CG322" s="295"/>
      <c r="CH322" s="295"/>
      <c r="CI322" s="295"/>
      <c r="CJ322" s="295"/>
      <c r="CK322" s="295"/>
      <c r="CL322" s="295"/>
      <c r="CM322" s="295"/>
      <c r="CN322" s="295"/>
      <c r="CO322" s="295"/>
      <c r="CP322" s="295"/>
      <c r="CQ322" s="295"/>
      <c r="CR322" s="295"/>
      <c r="CS322" s="295"/>
      <c r="CT322" s="295"/>
      <c r="CU322" s="295"/>
      <c r="CV322" s="295"/>
      <c r="CW322" s="295"/>
      <c r="CX322" s="295"/>
      <c r="CY322" s="295"/>
      <c r="CZ322" s="295"/>
      <c r="DA322" s="295"/>
      <c r="DB322" s="295"/>
      <c r="DC322" s="295"/>
      <c r="DD322" s="295"/>
      <c r="DE322" s="295"/>
      <c r="DF322" s="295"/>
      <c r="DG322" s="295"/>
      <c r="DH322" s="295"/>
      <c r="DI322" s="295"/>
      <c r="DJ322" s="295"/>
      <c r="DK322" s="295"/>
      <c r="DL322" s="295"/>
      <c r="DM322" s="295"/>
      <c r="DN322" s="295"/>
      <c r="DO322" s="295"/>
      <c r="DP322" s="295"/>
      <c r="DQ322" s="295"/>
      <c r="DR322" s="295"/>
      <c r="DS322" s="295"/>
      <c r="DT322" s="295"/>
      <c r="DU322" s="295"/>
      <c r="DV322" s="295"/>
      <c r="DW322" s="295"/>
      <c r="DX322" s="295"/>
      <c r="DY322" s="295"/>
      <c r="DZ322" s="295"/>
    </row>
    <row r="323" spans="1:130" s="528" customFormat="1" ht="39" hidden="1" customHeight="1">
      <c r="A323" s="2586"/>
      <c r="B323" s="2649"/>
      <c r="C323" s="2588"/>
      <c r="D323" s="512" t="s">
        <v>413</v>
      </c>
      <c r="E323" s="514"/>
      <c r="F323" s="532"/>
      <c r="G323" s="514"/>
      <c r="H323" s="514"/>
      <c r="I323" s="513"/>
      <c r="J323" s="515"/>
      <c r="K323" s="513"/>
      <c r="L323" s="513"/>
      <c r="M323" s="514"/>
      <c r="N323" s="2523"/>
      <c r="O323" s="2524"/>
      <c r="P323" s="2488"/>
      <c r="Q323" s="2512"/>
      <c r="R323" s="2513"/>
      <c r="S323" s="2513"/>
      <c r="T323" s="2513"/>
      <c r="U323" s="2514"/>
      <c r="V323" s="218"/>
      <c r="W323" s="2519"/>
      <c r="Y323" s="295"/>
      <c r="Z323" s="295"/>
      <c r="AA323" s="295"/>
      <c r="AB323" s="295"/>
      <c r="AC323" s="295"/>
      <c r="AD323" s="295"/>
      <c r="AE323" s="295"/>
      <c r="AF323" s="295"/>
      <c r="AG323" s="295"/>
      <c r="AH323" s="295"/>
      <c r="AI323" s="295"/>
      <c r="AJ323" s="295"/>
      <c r="AK323" s="295"/>
      <c r="AL323" s="295"/>
      <c r="AM323" s="295"/>
      <c r="AN323" s="295"/>
      <c r="AO323" s="295"/>
      <c r="AP323" s="295"/>
      <c r="AQ323" s="295"/>
      <c r="AR323" s="295"/>
      <c r="AS323" s="295"/>
      <c r="AT323" s="295"/>
      <c r="AU323" s="295"/>
      <c r="AV323" s="295"/>
      <c r="AW323" s="295"/>
      <c r="AX323" s="295"/>
      <c r="AY323" s="295"/>
      <c r="AZ323" s="295"/>
      <c r="BA323" s="295"/>
      <c r="BB323" s="295"/>
      <c r="BC323" s="295"/>
      <c r="BD323" s="295"/>
      <c r="BE323" s="295"/>
      <c r="BF323" s="295"/>
      <c r="BG323" s="295"/>
      <c r="BH323" s="295"/>
      <c r="BI323" s="295"/>
      <c r="BJ323" s="295"/>
      <c r="BK323" s="295"/>
      <c r="BL323" s="295"/>
      <c r="BM323" s="295"/>
      <c r="BN323" s="295"/>
      <c r="BO323" s="295"/>
      <c r="BP323" s="295"/>
      <c r="BQ323" s="295"/>
      <c r="BR323" s="295"/>
      <c r="BS323" s="295"/>
      <c r="BT323" s="295"/>
      <c r="BU323" s="295"/>
      <c r="BV323" s="295"/>
      <c r="BW323" s="295"/>
      <c r="BX323" s="295"/>
      <c r="BY323" s="295"/>
      <c r="BZ323" s="295"/>
      <c r="CA323" s="295"/>
      <c r="CB323" s="295"/>
      <c r="CC323" s="295"/>
      <c r="CD323" s="295"/>
      <c r="CE323" s="295"/>
      <c r="CF323" s="295"/>
      <c r="CG323" s="295"/>
      <c r="CH323" s="295"/>
      <c r="CI323" s="295"/>
      <c r="CJ323" s="295"/>
      <c r="CK323" s="295"/>
      <c r="CL323" s="295"/>
      <c r="CM323" s="295"/>
      <c r="CN323" s="295"/>
      <c r="CO323" s="295"/>
      <c r="CP323" s="295"/>
      <c r="CQ323" s="295"/>
      <c r="CR323" s="295"/>
      <c r="CS323" s="295"/>
      <c r="CT323" s="295"/>
      <c r="CU323" s="295"/>
      <c r="CV323" s="295"/>
      <c r="CW323" s="295"/>
      <c r="CX323" s="295"/>
      <c r="CY323" s="295"/>
      <c r="CZ323" s="295"/>
      <c r="DA323" s="295"/>
      <c r="DB323" s="295"/>
      <c r="DC323" s="295"/>
      <c r="DD323" s="295"/>
      <c r="DE323" s="295"/>
      <c r="DF323" s="295"/>
      <c r="DG323" s="295"/>
      <c r="DH323" s="295"/>
      <c r="DI323" s="295"/>
      <c r="DJ323" s="295"/>
      <c r="DK323" s="295"/>
      <c r="DL323" s="295"/>
      <c r="DM323" s="295"/>
      <c r="DN323" s="295"/>
      <c r="DO323" s="295"/>
      <c r="DP323" s="295"/>
      <c r="DQ323" s="295"/>
      <c r="DR323" s="295"/>
      <c r="DS323" s="295"/>
      <c r="DT323" s="295"/>
      <c r="DU323" s="295"/>
      <c r="DV323" s="295"/>
      <c r="DW323" s="295"/>
      <c r="DX323" s="295"/>
      <c r="DY323" s="295"/>
      <c r="DZ323" s="295"/>
    </row>
    <row r="324" spans="1:130" s="528" customFormat="1" ht="39" hidden="1" customHeight="1">
      <c r="A324" s="2586"/>
      <c r="B324" s="2649"/>
      <c r="C324" s="2588"/>
      <c r="D324" s="512" t="s">
        <v>2928</v>
      </c>
      <c r="E324" s="514"/>
      <c r="F324" s="532"/>
      <c r="G324" s="514"/>
      <c r="H324" s="514"/>
      <c r="I324" s="513"/>
      <c r="J324" s="515">
        <v>33.598999999999997</v>
      </c>
      <c r="K324" s="513">
        <v>30.908999999999999</v>
      </c>
      <c r="L324" s="513">
        <v>2.415</v>
      </c>
      <c r="M324" s="514"/>
      <c r="N324" s="2523"/>
      <c r="O324" s="2524"/>
      <c r="P324" s="2488"/>
      <c r="Q324" s="2512"/>
      <c r="R324" s="2513"/>
      <c r="S324" s="2513"/>
      <c r="T324" s="2513"/>
      <c r="U324" s="2514"/>
      <c r="V324" s="218"/>
      <c r="W324" s="2519"/>
      <c r="Y324" s="295"/>
      <c r="Z324" s="295"/>
      <c r="AA324" s="295"/>
      <c r="AB324" s="295"/>
      <c r="AC324" s="295"/>
      <c r="AD324" s="295"/>
      <c r="AE324" s="295"/>
      <c r="AF324" s="295"/>
      <c r="AG324" s="295"/>
      <c r="AH324" s="295"/>
      <c r="AI324" s="295"/>
      <c r="AJ324" s="295"/>
      <c r="AK324" s="295"/>
      <c r="AL324" s="295"/>
      <c r="AM324" s="295"/>
      <c r="AN324" s="295"/>
      <c r="AO324" s="295"/>
      <c r="AP324" s="295"/>
      <c r="AQ324" s="295"/>
      <c r="AR324" s="295"/>
      <c r="AS324" s="295"/>
      <c r="AT324" s="295"/>
      <c r="AU324" s="295"/>
      <c r="AV324" s="295"/>
      <c r="AW324" s="295"/>
      <c r="AX324" s="295"/>
      <c r="AY324" s="295"/>
      <c r="AZ324" s="295"/>
      <c r="BA324" s="295"/>
      <c r="BB324" s="295"/>
      <c r="BC324" s="295"/>
      <c r="BD324" s="295"/>
      <c r="BE324" s="295"/>
      <c r="BF324" s="295"/>
      <c r="BG324" s="295"/>
      <c r="BH324" s="295"/>
      <c r="BI324" s="295"/>
      <c r="BJ324" s="295"/>
      <c r="BK324" s="295"/>
      <c r="BL324" s="295"/>
      <c r="BM324" s="295"/>
      <c r="BN324" s="295"/>
      <c r="BO324" s="295"/>
      <c r="BP324" s="295"/>
      <c r="BQ324" s="295"/>
      <c r="BR324" s="295"/>
      <c r="BS324" s="295"/>
      <c r="BT324" s="295"/>
      <c r="BU324" s="295"/>
      <c r="BV324" s="295"/>
      <c r="BW324" s="295"/>
      <c r="BX324" s="295"/>
      <c r="BY324" s="295"/>
      <c r="BZ324" s="295"/>
      <c r="CA324" s="295"/>
      <c r="CB324" s="295"/>
      <c r="CC324" s="295"/>
      <c r="CD324" s="295"/>
      <c r="CE324" s="295"/>
      <c r="CF324" s="295"/>
      <c r="CG324" s="295"/>
      <c r="CH324" s="295"/>
      <c r="CI324" s="295"/>
      <c r="CJ324" s="295"/>
      <c r="CK324" s="295"/>
      <c r="CL324" s="295"/>
      <c r="CM324" s="295"/>
      <c r="CN324" s="295"/>
      <c r="CO324" s="295"/>
      <c r="CP324" s="295"/>
      <c r="CQ324" s="295"/>
      <c r="CR324" s="295"/>
      <c r="CS324" s="295"/>
      <c r="CT324" s="295"/>
      <c r="CU324" s="295"/>
      <c r="CV324" s="295"/>
      <c r="CW324" s="295"/>
      <c r="CX324" s="295"/>
      <c r="CY324" s="295"/>
      <c r="CZ324" s="295"/>
      <c r="DA324" s="295"/>
      <c r="DB324" s="295"/>
      <c r="DC324" s="295"/>
      <c r="DD324" s="295"/>
      <c r="DE324" s="295"/>
      <c r="DF324" s="295"/>
      <c r="DG324" s="295"/>
      <c r="DH324" s="295"/>
      <c r="DI324" s="295"/>
      <c r="DJ324" s="295"/>
      <c r="DK324" s="295"/>
      <c r="DL324" s="295"/>
      <c r="DM324" s="295"/>
      <c r="DN324" s="295"/>
      <c r="DO324" s="295"/>
      <c r="DP324" s="295"/>
      <c r="DQ324" s="295"/>
      <c r="DR324" s="295"/>
      <c r="DS324" s="295"/>
      <c r="DT324" s="295"/>
      <c r="DU324" s="295"/>
      <c r="DV324" s="295"/>
      <c r="DW324" s="295"/>
      <c r="DX324" s="295"/>
      <c r="DY324" s="295"/>
      <c r="DZ324" s="295"/>
    </row>
    <row r="325" spans="1:130" s="528" customFormat="1" ht="39" hidden="1" customHeight="1">
      <c r="A325" s="2586"/>
      <c r="B325" s="2649"/>
      <c r="C325" s="2588"/>
      <c r="D325" s="512" t="s">
        <v>3279</v>
      </c>
      <c r="E325" s="514"/>
      <c r="F325" s="532"/>
      <c r="G325" s="514"/>
      <c r="H325" s="514"/>
      <c r="I325" s="513"/>
      <c r="J325" s="515"/>
      <c r="K325" s="513"/>
      <c r="L325" s="513"/>
      <c r="M325" s="514"/>
      <c r="N325" s="2523"/>
      <c r="O325" s="2524"/>
      <c r="P325" s="2488"/>
      <c r="Q325" s="2512"/>
      <c r="R325" s="2513"/>
      <c r="S325" s="2513"/>
      <c r="T325" s="2513"/>
      <c r="U325" s="2514"/>
      <c r="V325" s="218"/>
      <c r="W325" s="2519"/>
      <c r="Y325" s="295"/>
      <c r="Z325" s="295"/>
      <c r="AA325" s="295"/>
      <c r="AB325" s="295"/>
      <c r="AC325" s="295"/>
      <c r="AD325" s="295"/>
      <c r="AE325" s="295"/>
      <c r="AF325" s="295"/>
      <c r="AG325" s="295"/>
      <c r="AH325" s="295"/>
      <c r="AI325" s="295"/>
      <c r="AJ325" s="295"/>
      <c r="AK325" s="295"/>
      <c r="AL325" s="295"/>
      <c r="AM325" s="295"/>
      <c r="AN325" s="295"/>
      <c r="AO325" s="295"/>
      <c r="AP325" s="295"/>
      <c r="AQ325" s="295"/>
      <c r="AR325" s="295"/>
      <c r="AS325" s="295"/>
      <c r="AT325" s="295"/>
      <c r="AU325" s="295"/>
      <c r="AV325" s="295"/>
      <c r="AW325" s="295"/>
      <c r="AX325" s="295"/>
      <c r="AY325" s="295"/>
      <c r="AZ325" s="295"/>
      <c r="BA325" s="295"/>
      <c r="BB325" s="295"/>
      <c r="BC325" s="295"/>
      <c r="BD325" s="295"/>
      <c r="BE325" s="295"/>
      <c r="BF325" s="295"/>
      <c r="BG325" s="295"/>
      <c r="BH325" s="295"/>
      <c r="BI325" s="295"/>
      <c r="BJ325" s="295"/>
      <c r="BK325" s="295"/>
      <c r="BL325" s="295"/>
      <c r="BM325" s="295"/>
      <c r="BN325" s="295"/>
      <c r="BO325" s="295"/>
      <c r="BP325" s="295"/>
      <c r="BQ325" s="295"/>
      <c r="BR325" s="295"/>
      <c r="BS325" s="295"/>
      <c r="BT325" s="295"/>
      <c r="BU325" s="295"/>
      <c r="BV325" s="295"/>
      <c r="BW325" s="295"/>
      <c r="BX325" s="295"/>
      <c r="BY325" s="295"/>
      <c r="BZ325" s="295"/>
      <c r="CA325" s="295"/>
      <c r="CB325" s="295"/>
      <c r="CC325" s="295"/>
      <c r="CD325" s="295"/>
      <c r="CE325" s="295"/>
      <c r="CF325" s="295"/>
      <c r="CG325" s="295"/>
      <c r="CH325" s="295"/>
      <c r="CI325" s="295"/>
      <c r="CJ325" s="295"/>
      <c r="CK325" s="295"/>
      <c r="CL325" s="295"/>
      <c r="CM325" s="295"/>
      <c r="CN325" s="295"/>
      <c r="CO325" s="295"/>
      <c r="CP325" s="295"/>
      <c r="CQ325" s="295"/>
      <c r="CR325" s="295"/>
      <c r="CS325" s="295"/>
      <c r="CT325" s="295"/>
      <c r="CU325" s="295"/>
      <c r="CV325" s="295"/>
      <c r="CW325" s="295"/>
      <c r="CX325" s="295"/>
      <c r="CY325" s="295"/>
      <c r="CZ325" s="295"/>
      <c r="DA325" s="295"/>
      <c r="DB325" s="295"/>
      <c r="DC325" s="295"/>
      <c r="DD325" s="295"/>
      <c r="DE325" s="295"/>
      <c r="DF325" s="295"/>
      <c r="DG325" s="295"/>
      <c r="DH325" s="295"/>
      <c r="DI325" s="295"/>
      <c r="DJ325" s="295"/>
      <c r="DK325" s="295"/>
      <c r="DL325" s="295"/>
      <c r="DM325" s="295"/>
      <c r="DN325" s="295"/>
      <c r="DO325" s="295"/>
      <c r="DP325" s="295"/>
      <c r="DQ325" s="295"/>
      <c r="DR325" s="295"/>
      <c r="DS325" s="295"/>
      <c r="DT325" s="295"/>
      <c r="DU325" s="295"/>
      <c r="DV325" s="295"/>
      <c r="DW325" s="295"/>
      <c r="DX325" s="295"/>
      <c r="DY325" s="295"/>
      <c r="DZ325" s="295"/>
    </row>
    <row r="326" spans="1:130" s="528" customFormat="1" ht="39" hidden="1" customHeight="1">
      <c r="A326" s="2587"/>
      <c r="B326" s="2654"/>
      <c r="C326" s="2655"/>
      <c r="D326" s="752" t="s">
        <v>3864</v>
      </c>
      <c r="E326" s="753"/>
      <c r="F326" s="755"/>
      <c r="G326" s="753"/>
      <c r="H326" s="753"/>
      <c r="I326" s="753"/>
      <c r="J326" s="754">
        <f>SUM(J322,J323,J324,J325)</f>
        <v>87.447999999999993</v>
      </c>
      <c r="K326" s="753">
        <f>SUM(K322,K323,K324,K325)</f>
        <v>79.552999999999997</v>
      </c>
      <c r="L326" s="753">
        <f>SUM(L322,L323,L324,L325)</f>
        <v>5.79</v>
      </c>
      <c r="M326" s="753">
        <f>SUM(M322,M323,M324,M325)</f>
        <v>0</v>
      </c>
      <c r="N326" s="2525"/>
      <c r="O326" s="2526"/>
      <c r="P326" s="2488"/>
      <c r="Q326" s="2515"/>
      <c r="R326" s="2516"/>
      <c r="S326" s="2516"/>
      <c r="T326" s="2516"/>
      <c r="U326" s="2517"/>
      <c r="V326" s="218"/>
      <c r="W326" s="2520"/>
      <c r="Y326" s="295"/>
      <c r="Z326" s="295"/>
      <c r="AA326" s="295"/>
      <c r="AB326" s="295"/>
      <c r="AC326" s="295"/>
      <c r="AD326" s="295"/>
      <c r="AE326" s="295"/>
      <c r="AF326" s="295"/>
      <c r="AG326" s="295"/>
      <c r="AH326" s="295"/>
      <c r="AI326" s="295"/>
      <c r="AJ326" s="295"/>
      <c r="AK326" s="295"/>
      <c r="AL326" s="295"/>
      <c r="AM326" s="295"/>
      <c r="AN326" s="295"/>
      <c r="AO326" s="295"/>
      <c r="AP326" s="295"/>
      <c r="AQ326" s="295"/>
      <c r="AR326" s="295"/>
      <c r="AS326" s="295"/>
      <c r="AT326" s="295"/>
      <c r="AU326" s="295"/>
      <c r="AV326" s="295"/>
      <c r="AW326" s="295"/>
      <c r="AX326" s="295"/>
      <c r="AY326" s="295"/>
      <c r="AZ326" s="295"/>
      <c r="BA326" s="295"/>
      <c r="BB326" s="295"/>
      <c r="BC326" s="295"/>
      <c r="BD326" s="295"/>
      <c r="BE326" s="295"/>
      <c r="BF326" s="295"/>
      <c r="BG326" s="295"/>
      <c r="BH326" s="295"/>
      <c r="BI326" s="295"/>
      <c r="BJ326" s="295"/>
      <c r="BK326" s="295"/>
      <c r="BL326" s="295"/>
      <c r="BM326" s="295"/>
      <c r="BN326" s="295"/>
      <c r="BO326" s="295"/>
      <c r="BP326" s="295"/>
      <c r="BQ326" s="295"/>
      <c r="BR326" s="295"/>
      <c r="BS326" s="295"/>
      <c r="BT326" s="295"/>
      <c r="BU326" s="295"/>
      <c r="BV326" s="295"/>
      <c r="BW326" s="295"/>
      <c r="BX326" s="295"/>
      <c r="BY326" s="295"/>
      <c r="BZ326" s="295"/>
      <c r="CA326" s="295"/>
      <c r="CB326" s="295"/>
      <c r="CC326" s="295"/>
      <c r="CD326" s="295"/>
      <c r="CE326" s="295"/>
      <c r="CF326" s="295"/>
      <c r="CG326" s="295"/>
      <c r="CH326" s="295"/>
      <c r="CI326" s="295"/>
      <c r="CJ326" s="295"/>
      <c r="CK326" s="295"/>
      <c r="CL326" s="295"/>
      <c r="CM326" s="295"/>
      <c r="CN326" s="295"/>
      <c r="CO326" s="295"/>
      <c r="CP326" s="295"/>
      <c r="CQ326" s="295"/>
      <c r="CR326" s="295"/>
      <c r="CS326" s="295"/>
      <c r="CT326" s="295"/>
      <c r="CU326" s="295"/>
      <c r="CV326" s="295"/>
      <c r="CW326" s="295"/>
      <c r="CX326" s="295"/>
      <c r="CY326" s="295"/>
      <c r="CZ326" s="295"/>
      <c r="DA326" s="295"/>
      <c r="DB326" s="295"/>
      <c r="DC326" s="295"/>
      <c r="DD326" s="295"/>
      <c r="DE326" s="295"/>
      <c r="DF326" s="295"/>
      <c r="DG326" s="295"/>
      <c r="DH326" s="295"/>
      <c r="DI326" s="295"/>
      <c r="DJ326" s="295"/>
      <c r="DK326" s="295"/>
      <c r="DL326" s="295"/>
      <c r="DM326" s="295"/>
      <c r="DN326" s="295"/>
      <c r="DO326" s="295"/>
      <c r="DP326" s="295"/>
      <c r="DQ326" s="295"/>
      <c r="DR326" s="295"/>
      <c r="DS326" s="295"/>
      <c r="DT326" s="295"/>
      <c r="DU326" s="295"/>
      <c r="DV326" s="295"/>
      <c r="DW326" s="295"/>
      <c r="DX326" s="295"/>
      <c r="DY326" s="295"/>
      <c r="DZ326" s="295"/>
    </row>
    <row r="327" spans="1:130" ht="39" customHeight="1">
      <c r="A327" s="2578" t="s">
        <v>3068</v>
      </c>
      <c r="B327" s="2366" t="s">
        <v>3069</v>
      </c>
      <c r="C327" s="2577">
        <v>188711925</v>
      </c>
      <c r="D327" s="299" t="s">
        <v>246</v>
      </c>
      <c r="E327" s="225">
        <v>30</v>
      </c>
      <c r="F327" s="318">
        <f>H327/E327-1</f>
        <v>2.3333333333333335</v>
      </c>
      <c r="G327" s="225">
        <v>35</v>
      </c>
      <c r="H327" s="225">
        <v>100</v>
      </c>
      <c r="I327" s="510">
        <f>J327/H327-1</f>
        <v>0.33505999999999991</v>
      </c>
      <c r="J327" s="230">
        <v>133.506</v>
      </c>
      <c r="K327" s="225">
        <v>133.506</v>
      </c>
      <c r="L327" s="225">
        <v>133.505</v>
      </c>
      <c r="M327" s="225">
        <v>0</v>
      </c>
      <c r="N327" s="2490" t="s">
        <v>3074</v>
      </c>
      <c r="O327" s="2395" t="s">
        <v>3363</v>
      </c>
      <c r="P327" s="2488"/>
      <c r="Q327" s="2475" t="s">
        <v>3070</v>
      </c>
      <c r="R327" s="2475" t="s">
        <v>3071</v>
      </c>
      <c r="S327" s="2475" t="s">
        <v>3072</v>
      </c>
      <c r="T327" s="2475" t="s">
        <v>3075</v>
      </c>
      <c r="U327" s="2475" t="s">
        <v>3073</v>
      </c>
      <c r="V327" s="2475" t="s">
        <v>3073</v>
      </c>
      <c r="W327" s="2477" t="s">
        <v>3076</v>
      </c>
    </row>
    <row r="328" spans="1:130" ht="159.75" customHeight="1">
      <c r="A328" s="2578"/>
      <c r="B328" s="2366">
        <f>SUM(B327:B327)</f>
        <v>0</v>
      </c>
      <c r="C328" s="2577">
        <f>SUM(C327:C327)</f>
        <v>188711925</v>
      </c>
      <c r="D328" s="334" t="s">
        <v>1121</v>
      </c>
      <c r="E328" s="224">
        <f>E327</f>
        <v>30</v>
      </c>
      <c r="F328" s="321">
        <f t="shared" ref="F328" si="127">(H328-E328)/E328</f>
        <v>2.3333333333333335</v>
      </c>
      <c r="G328" s="224">
        <f>G327</f>
        <v>35</v>
      </c>
      <c r="H328" s="224">
        <f t="shared" ref="H328:M328" si="128">H327</f>
        <v>100</v>
      </c>
      <c r="I328" s="526">
        <f t="shared" ref="I328:I330" si="129">J328/H328-1</f>
        <v>0.33505999999999991</v>
      </c>
      <c r="J328" s="273">
        <f>J327</f>
        <v>133.506</v>
      </c>
      <c r="K328" s="224">
        <f t="shared" si="128"/>
        <v>133.506</v>
      </c>
      <c r="L328" s="224">
        <f t="shared" si="128"/>
        <v>133.505</v>
      </c>
      <c r="M328" s="224">
        <f t="shared" si="128"/>
        <v>0</v>
      </c>
      <c r="N328" s="2492"/>
      <c r="O328" s="2396"/>
      <c r="P328" s="2488"/>
      <c r="Q328" s="2475"/>
      <c r="R328" s="2475"/>
      <c r="S328" s="2475"/>
      <c r="T328" s="2475"/>
      <c r="U328" s="2475"/>
      <c r="V328" s="2475"/>
      <c r="W328" s="2478"/>
    </row>
    <row r="329" spans="1:130" ht="39" customHeight="1">
      <c r="A329" s="2565" t="s">
        <v>3077</v>
      </c>
      <c r="B329" s="2574" t="s">
        <v>3078</v>
      </c>
      <c r="C329" s="2571">
        <v>188711925</v>
      </c>
      <c r="D329" s="521" t="s">
        <v>246</v>
      </c>
      <c r="E329" s="222">
        <v>30</v>
      </c>
      <c r="F329" s="336">
        <f>H329/E329-1</f>
        <v>6.4673333333333334</v>
      </c>
      <c r="G329" s="222">
        <v>35</v>
      </c>
      <c r="H329" s="442">
        <v>224.02</v>
      </c>
      <c r="I329" s="510">
        <f t="shared" si="129"/>
        <v>0.48255512900633879</v>
      </c>
      <c r="J329" s="516">
        <v>332.12200000000001</v>
      </c>
      <c r="K329" s="442">
        <v>332.12200000000001</v>
      </c>
      <c r="L329" s="222">
        <v>342.12200000000001</v>
      </c>
      <c r="M329" s="222">
        <v>0</v>
      </c>
      <c r="N329" s="2490" t="s">
        <v>3074</v>
      </c>
      <c r="O329" s="2395" t="s">
        <v>3095</v>
      </c>
      <c r="P329" s="2488"/>
      <c r="Q329" s="2475" t="s">
        <v>3079</v>
      </c>
      <c r="R329" s="2475" t="s">
        <v>3080</v>
      </c>
      <c r="S329" s="2475" t="s">
        <v>3081</v>
      </c>
      <c r="T329" s="2475" t="s">
        <v>3081</v>
      </c>
      <c r="U329" s="2475" t="s">
        <v>3081</v>
      </c>
      <c r="V329" s="2506" t="s">
        <v>3081</v>
      </c>
      <c r="W329" s="2478"/>
    </row>
    <row r="330" spans="1:130" ht="237.75" customHeight="1">
      <c r="A330" s="2565"/>
      <c r="B330" s="2575">
        <f>SUM(B329:B329)</f>
        <v>0</v>
      </c>
      <c r="C330" s="2572">
        <f>SUM(C329:C329)</f>
        <v>188711925</v>
      </c>
      <c r="D330" s="334" t="s">
        <v>1121</v>
      </c>
      <c r="E330" s="224">
        <f>E329</f>
        <v>30</v>
      </c>
      <c r="F330" s="321">
        <f t="shared" ref="F330" si="130">(H330-E330)/E330</f>
        <v>6.4673333333333334</v>
      </c>
      <c r="G330" s="224">
        <f>G329</f>
        <v>35</v>
      </c>
      <c r="H330" s="224">
        <f t="shared" ref="H330:L330" si="131">H329</f>
        <v>224.02</v>
      </c>
      <c r="I330" s="526">
        <f t="shared" si="129"/>
        <v>0.48255512900633879</v>
      </c>
      <c r="J330" s="273">
        <f t="shared" si="131"/>
        <v>332.12200000000001</v>
      </c>
      <c r="K330" s="224">
        <f t="shared" si="131"/>
        <v>332.12200000000001</v>
      </c>
      <c r="L330" s="224">
        <f t="shared" si="131"/>
        <v>342.12200000000001</v>
      </c>
      <c r="M330" s="224">
        <v>0</v>
      </c>
      <c r="N330" s="2492"/>
      <c r="O330" s="2396"/>
      <c r="P330" s="2488"/>
      <c r="Q330" s="2475"/>
      <c r="R330" s="2475"/>
      <c r="S330" s="2475"/>
      <c r="T330" s="2475"/>
      <c r="U330" s="2475"/>
      <c r="V330" s="2506"/>
      <c r="W330" s="2479"/>
    </row>
    <row r="331" spans="1:130" ht="72.75" customHeight="1">
      <c r="A331" s="228" t="s">
        <v>2056</v>
      </c>
      <c r="B331" s="967" t="s">
        <v>2992</v>
      </c>
      <c r="C331" s="348"/>
      <c r="D331" s="344"/>
      <c r="E331" s="214">
        <f>E333</f>
        <v>30</v>
      </c>
      <c r="F331" s="315">
        <f>H331/E331-1</f>
        <v>2.2518333333333334</v>
      </c>
      <c r="G331" s="214">
        <f t="shared" ref="G331" si="132">G333</f>
        <v>35</v>
      </c>
      <c r="H331" s="214">
        <f>H333+H335</f>
        <v>97.555000000000007</v>
      </c>
      <c r="I331" s="511">
        <f t="shared" ref="I331:I335" si="133">K331/H331-1</f>
        <v>2.2418123110040433E-2</v>
      </c>
      <c r="J331" s="271">
        <f>J333+J335</f>
        <v>50</v>
      </c>
      <c r="K331" s="214">
        <f>SUM(K333,K335)</f>
        <v>99.742000000000004</v>
      </c>
      <c r="L331" s="214">
        <f t="shared" ref="L331:M331" si="134">SUM(L333,L335)</f>
        <v>103.721</v>
      </c>
      <c r="M331" s="214">
        <f t="shared" si="134"/>
        <v>103.721</v>
      </c>
      <c r="N331" s="183" t="s">
        <v>2810</v>
      </c>
      <c r="O331" s="203"/>
      <c r="P331" s="2488"/>
      <c r="Q331" s="184" t="s">
        <v>1664</v>
      </c>
      <c r="R331" s="202" t="s">
        <v>2811</v>
      </c>
      <c r="S331" s="184">
        <v>27</v>
      </c>
      <c r="T331" s="184">
        <v>28</v>
      </c>
      <c r="U331" s="184">
        <v>29</v>
      </c>
      <c r="V331" s="454">
        <v>30</v>
      </c>
      <c r="W331" s="2477" t="s">
        <v>2299</v>
      </c>
    </row>
    <row r="332" spans="1:130" ht="39" customHeight="1">
      <c r="A332" s="2565" t="s">
        <v>2051</v>
      </c>
      <c r="B332" s="2574" t="s">
        <v>3000</v>
      </c>
      <c r="C332" s="2571">
        <v>188711925</v>
      </c>
      <c r="D332" s="299" t="s">
        <v>471</v>
      </c>
      <c r="E332" s="225">
        <v>30</v>
      </c>
      <c r="F332" s="318">
        <f>H332/E332-1</f>
        <v>0.66666666666666674</v>
      </c>
      <c r="G332" s="225">
        <v>35</v>
      </c>
      <c r="H332" s="225">
        <v>50</v>
      </c>
      <c r="I332" s="510">
        <f t="shared" si="133"/>
        <v>0</v>
      </c>
      <c r="J332" s="230">
        <v>50</v>
      </c>
      <c r="K332" s="756">
        <v>50</v>
      </c>
      <c r="L332" s="756">
        <v>50</v>
      </c>
      <c r="M332" s="756">
        <v>50</v>
      </c>
      <c r="N332" s="2490" t="s">
        <v>2294</v>
      </c>
      <c r="O332" s="2395" t="s">
        <v>1666</v>
      </c>
      <c r="P332" s="2488"/>
      <c r="Q332" s="2475" t="s">
        <v>1665</v>
      </c>
      <c r="R332" s="2475" t="s">
        <v>2473</v>
      </c>
      <c r="S332" s="2475" t="s">
        <v>2474</v>
      </c>
      <c r="T332" s="2475" t="s">
        <v>1340</v>
      </c>
      <c r="U332" s="2475" t="s">
        <v>1403</v>
      </c>
      <c r="V332" s="2507" t="s">
        <v>1403</v>
      </c>
      <c r="W332" s="2478"/>
    </row>
    <row r="333" spans="1:130" ht="39" customHeight="1">
      <c r="A333" s="2565"/>
      <c r="B333" s="2575">
        <f>SUM(B332:B332)</f>
        <v>0</v>
      </c>
      <c r="C333" s="2572">
        <f>SUM(C332:C332)</f>
        <v>188711925</v>
      </c>
      <c r="D333" s="334" t="s">
        <v>1121</v>
      </c>
      <c r="E333" s="224">
        <f>E332</f>
        <v>30</v>
      </c>
      <c r="F333" s="321">
        <f t="shared" si="70"/>
        <v>0.66666666666666663</v>
      </c>
      <c r="G333" s="224">
        <f>G332</f>
        <v>35</v>
      </c>
      <c r="H333" s="224">
        <f t="shared" ref="H333:M333" si="135">H332</f>
        <v>50</v>
      </c>
      <c r="I333" s="526">
        <f t="shared" si="133"/>
        <v>0</v>
      </c>
      <c r="J333" s="273">
        <f t="shared" si="135"/>
        <v>50</v>
      </c>
      <c r="K333" s="224">
        <f t="shared" si="135"/>
        <v>50</v>
      </c>
      <c r="L333" s="224">
        <f t="shared" si="135"/>
        <v>50</v>
      </c>
      <c r="M333" s="224">
        <f t="shared" si="135"/>
        <v>50</v>
      </c>
      <c r="N333" s="2491"/>
      <c r="O333" s="2396"/>
      <c r="P333" s="2488"/>
      <c r="Q333" s="2475"/>
      <c r="R333" s="2475"/>
      <c r="S333" s="2475"/>
      <c r="T333" s="2475"/>
      <c r="U333" s="2475"/>
      <c r="V333" s="2508"/>
      <c r="W333" s="2478"/>
    </row>
    <row r="334" spans="1:130" ht="39" customHeight="1">
      <c r="A334" s="2618" t="s">
        <v>2788</v>
      </c>
      <c r="B334" s="2574" t="s">
        <v>2750</v>
      </c>
      <c r="C334" s="2571" t="s">
        <v>1080</v>
      </c>
      <c r="D334" s="299" t="s">
        <v>1122</v>
      </c>
      <c r="E334" s="225">
        <v>0</v>
      </c>
      <c r="F334" s="318"/>
      <c r="G334" s="225">
        <v>0</v>
      </c>
      <c r="H334" s="225">
        <f>SUM(H336:H338)</f>
        <v>47.555</v>
      </c>
      <c r="I334" s="510">
        <f t="shared" si="133"/>
        <v>4.5988855009988505E-2</v>
      </c>
      <c r="J334" s="230"/>
      <c r="K334" s="225">
        <f>K336+K337+K338</f>
        <v>49.742000000000004</v>
      </c>
      <c r="L334" s="225">
        <f t="shared" ref="L334:M334" si="136">L336+L337+L338</f>
        <v>53.721000000000004</v>
      </c>
      <c r="M334" s="225">
        <f t="shared" si="136"/>
        <v>53.721000000000004</v>
      </c>
      <c r="N334" s="2491"/>
      <c r="O334" s="2395" t="s">
        <v>3001</v>
      </c>
      <c r="P334" s="234"/>
      <c r="Q334" s="2475" t="s">
        <v>1665</v>
      </c>
      <c r="R334" s="2475" t="s">
        <v>2787</v>
      </c>
      <c r="S334" s="2475" t="s">
        <v>393</v>
      </c>
      <c r="T334" s="2475" t="s">
        <v>393</v>
      </c>
      <c r="U334" s="2475" t="s">
        <v>393</v>
      </c>
      <c r="V334" s="2507" t="s">
        <v>393</v>
      </c>
      <c r="W334" s="2478"/>
      <c r="X334" s="347" t="s">
        <v>2786</v>
      </c>
    </row>
    <row r="335" spans="1:130" ht="68.25" customHeight="1">
      <c r="A335" s="2560"/>
      <c r="B335" s="2580"/>
      <c r="C335" s="2627">
        <f>SUM(C334:C334)</f>
        <v>0</v>
      </c>
      <c r="D335" s="334" t="s">
        <v>1121</v>
      </c>
      <c r="E335" s="224">
        <f>E334</f>
        <v>0</v>
      </c>
      <c r="F335" s="321"/>
      <c r="G335" s="224">
        <f>G334</f>
        <v>0</v>
      </c>
      <c r="H335" s="224">
        <f t="shared" ref="H335:M335" si="137">H334</f>
        <v>47.555</v>
      </c>
      <c r="I335" s="526">
        <f t="shared" si="133"/>
        <v>4.5988855009988505E-2</v>
      </c>
      <c r="J335" s="273">
        <f>J334</f>
        <v>0</v>
      </c>
      <c r="K335" s="224">
        <f t="shared" si="137"/>
        <v>49.742000000000004</v>
      </c>
      <c r="L335" s="224">
        <f t="shared" si="137"/>
        <v>53.721000000000004</v>
      </c>
      <c r="M335" s="224">
        <f t="shared" si="137"/>
        <v>53.721000000000004</v>
      </c>
      <c r="N335" s="2492"/>
      <c r="O335" s="2396"/>
      <c r="P335" s="234"/>
      <c r="Q335" s="2475"/>
      <c r="R335" s="2475"/>
      <c r="S335" s="2475"/>
      <c r="T335" s="2475"/>
      <c r="U335" s="2475"/>
      <c r="V335" s="2508"/>
      <c r="W335" s="2479"/>
    </row>
    <row r="336" spans="1:130" ht="39" hidden="1" customHeight="1">
      <c r="A336" s="530"/>
      <c r="B336" s="957" t="s">
        <v>2752</v>
      </c>
      <c r="C336" s="633"/>
      <c r="D336" s="761"/>
      <c r="E336" s="624"/>
      <c r="F336" s="532"/>
      <c r="G336" s="624"/>
      <c r="H336" s="623">
        <v>10.95</v>
      </c>
      <c r="I336" s="560"/>
      <c r="J336" s="762">
        <v>11.154999999999999</v>
      </c>
      <c r="K336" s="720">
        <v>11.028</v>
      </c>
      <c r="L336" s="623">
        <v>11.91</v>
      </c>
      <c r="M336" s="623">
        <v>11.91</v>
      </c>
      <c r="N336" s="935"/>
      <c r="O336" s="233"/>
      <c r="P336" s="328"/>
      <c r="Q336" s="349"/>
      <c r="R336" s="349"/>
      <c r="S336" s="350"/>
      <c r="T336" s="350"/>
      <c r="U336" s="350"/>
      <c r="V336" s="350"/>
      <c r="W336" s="350"/>
    </row>
    <row r="337" spans="1:23" ht="39" hidden="1" customHeight="1">
      <c r="A337" s="763"/>
      <c r="B337" s="957" t="s">
        <v>2753</v>
      </c>
      <c r="C337" s="633"/>
      <c r="D337" s="761"/>
      <c r="E337" s="624"/>
      <c r="F337" s="532"/>
      <c r="G337" s="624"/>
      <c r="H337" s="623">
        <v>11.452999999999999</v>
      </c>
      <c r="I337" s="560"/>
      <c r="J337" s="762">
        <v>12.513999999999999</v>
      </c>
      <c r="K337" s="720">
        <v>13.51</v>
      </c>
      <c r="L337" s="623">
        <v>14.59</v>
      </c>
      <c r="M337" s="623">
        <v>14.59</v>
      </c>
      <c r="N337" s="935"/>
      <c r="O337" s="233"/>
      <c r="P337" s="328"/>
      <c r="Q337" s="349"/>
      <c r="R337" s="349"/>
      <c r="S337" s="350"/>
      <c r="T337" s="350"/>
      <c r="U337" s="350"/>
      <c r="V337" s="350"/>
      <c r="W337" s="350"/>
    </row>
    <row r="338" spans="1:23" ht="39" hidden="1" customHeight="1">
      <c r="A338" s="763"/>
      <c r="B338" s="957" t="s">
        <v>2754</v>
      </c>
      <c r="C338" s="633"/>
      <c r="D338" s="761"/>
      <c r="E338" s="624"/>
      <c r="F338" s="532"/>
      <c r="G338" s="624"/>
      <c r="H338" s="623">
        <v>25.152000000000001</v>
      </c>
      <c r="I338" s="560"/>
      <c r="J338" s="762">
        <v>27.53</v>
      </c>
      <c r="K338" s="720">
        <v>25.204000000000001</v>
      </c>
      <c r="L338" s="560">
        <v>27.221</v>
      </c>
      <c r="M338" s="560">
        <f>L338</f>
        <v>27.221</v>
      </c>
      <c r="N338" s="935"/>
      <c r="O338" s="233"/>
      <c r="P338" s="351"/>
      <c r="Q338" s="352"/>
      <c r="R338" s="352"/>
      <c r="S338" s="353"/>
      <c r="T338" s="353"/>
      <c r="U338" s="353"/>
      <c r="V338" s="353"/>
      <c r="W338" s="353"/>
    </row>
    <row r="339" spans="1:23" ht="57" customHeight="1">
      <c r="A339" s="2624"/>
      <c r="B339" s="2624"/>
      <c r="C339" s="2624"/>
      <c r="D339" s="2624"/>
      <c r="E339" s="354" t="s">
        <v>1091</v>
      </c>
      <c r="F339" s="355"/>
      <c r="G339" s="354" t="str">
        <f>G13</f>
        <v xml:space="preserve">2024  m. asignavimų poreikis </v>
      </c>
      <c r="H339" s="354" t="str">
        <f>H13</f>
        <v>2024  m. asignavimai ir kitos lėšos, tūkst. Eur</v>
      </c>
      <c r="I339" s="447" t="s">
        <v>3099</v>
      </c>
      <c r="J339" s="523" t="s">
        <v>3100</v>
      </c>
      <c r="K339" s="1483" t="str">
        <f>K13</f>
        <v>2025 m. asignavimai ir kitos lėšos, tūkst. Eur</v>
      </c>
      <c r="L339" s="194" t="str">
        <f>L13</f>
        <v>2026 m.asignavimai ir kitos lėšos, tūkst. Eur</v>
      </c>
      <c r="M339" s="186" t="s">
        <v>3097</v>
      </c>
      <c r="N339" s="1306"/>
      <c r="O339" s="234"/>
      <c r="P339" s="234"/>
      <c r="Q339" s="234"/>
      <c r="R339" s="234"/>
      <c r="S339" s="234"/>
      <c r="T339" s="234"/>
      <c r="U339" s="234"/>
      <c r="V339" s="234"/>
      <c r="W339" s="234"/>
    </row>
    <row r="340" spans="1:23" ht="39" customHeight="1">
      <c r="A340" s="237"/>
      <c r="B340" s="2573" t="s">
        <v>722</v>
      </c>
      <c r="C340" s="2573"/>
      <c r="D340" s="2573"/>
      <c r="E340" s="241" t="e">
        <f>SUM(E341,E342,E346,E347,E348,E349,)</f>
        <v>#REF!</v>
      </c>
      <c r="F340" s="318" t="e">
        <f>H340/E340-1</f>
        <v>#REF!</v>
      </c>
      <c r="G340" s="241" t="e">
        <f t="shared" ref="G340" si="138">SUM(G341,G342,G346,G347,G348,G349,)</f>
        <v>#REF!</v>
      </c>
      <c r="H340" s="241">
        <f>SUM(H341,H342,H346,H347,H348,H349,)</f>
        <v>21438.585999999999</v>
      </c>
      <c r="I340" s="239">
        <f t="shared" ref="I340:I352" si="139">K340/H340-1</f>
        <v>0.12695230926144108</v>
      </c>
      <c r="J340" s="280">
        <f>SUM(J341,J342,J346,J347,J348,J349,)</f>
        <v>11454.429999999998</v>
      </c>
      <c r="K340" s="241">
        <f>SUM(K341,K342,K346,K347,K348,K349,)</f>
        <v>24160.263999999999</v>
      </c>
      <c r="L340" s="920">
        <f t="shared" ref="L340:M340" si="140">SUM(L341,L342,L346,L347,L348,L349,)</f>
        <v>21467.852000000003</v>
      </c>
      <c r="M340" s="240">
        <f t="shared" si="140"/>
        <v>21556.798000000003</v>
      </c>
      <c r="N340" s="198"/>
      <c r="O340" s="238"/>
      <c r="P340" s="234"/>
      <c r="Q340" s="238"/>
      <c r="R340" s="234"/>
      <c r="S340" s="234"/>
      <c r="T340" s="234"/>
      <c r="U340" s="234"/>
      <c r="V340" s="234"/>
      <c r="W340" s="234"/>
    </row>
    <row r="341" spans="1:23" ht="39" customHeight="1">
      <c r="A341" s="236"/>
      <c r="B341" s="2564" t="s">
        <v>2027</v>
      </c>
      <c r="C341" s="2564"/>
      <c r="D341" s="2564"/>
      <c r="E341" s="225" t="e">
        <f>SUM(E16,E81,E162,E176,E193,E202,E223,#REF!,#REF!,E241,E243,E247,E271,#REF!,E289,E308,E332,)</f>
        <v>#REF!</v>
      </c>
      <c r="F341" s="318" t="e">
        <f>H341/E341-1</f>
        <v>#REF!</v>
      </c>
      <c r="G341" s="225" t="e">
        <f>SUM(G16,G81,G162,G176,G193,G202,G223,#REF!,#REF!,G241,G243,G247,G271,#REF!,G289,G308,G332,)</f>
        <v>#REF!</v>
      </c>
      <c r="H341" s="225">
        <f>SUM(H16,H81,H162,H176,H193,H223,H241,H243,H332,)</f>
        <v>7241.39</v>
      </c>
      <c r="I341" s="510">
        <f t="shared" si="139"/>
        <v>5.1064781761512412E-2</v>
      </c>
      <c r="J341" s="230">
        <f>SUM(J16,J81,J162,J176,J193,J223,J241,J243,J332,J203,J249,J272,J286,J307,)</f>
        <v>7406.875</v>
      </c>
      <c r="K341" s="225">
        <f>SUM(K16,K81,K162,K176,K193,K223,K241,K243,K332,K203,K249,K272,K286,K307,)</f>
        <v>7611.1699999999983</v>
      </c>
      <c r="L341" s="225">
        <f>SUM(L16,L81,L162,L176,L193,L223,L241,L243,L332,L203,L249,L272,L286,L307,L276)</f>
        <v>8043.0330000000004</v>
      </c>
      <c r="M341" s="225">
        <f t="shared" ref="M341" si="141">SUM(M16,M81,M162,M176,M193,M223,M241,M243,M332,M203,M249,M272,M286,M307,)</f>
        <v>8144.0089999999991</v>
      </c>
      <c r="N341" s="1332"/>
      <c r="O341" s="234"/>
      <c r="P341" s="234"/>
      <c r="Q341" s="234"/>
      <c r="R341" s="234"/>
      <c r="S341" s="234"/>
      <c r="T341" s="234"/>
      <c r="U341" s="234"/>
      <c r="V341" s="234"/>
      <c r="W341" s="234"/>
    </row>
    <row r="342" spans="1:23" ht="31.5" customHeight="1">
      <c r="A342" s="236"/>
      <c r="B342" s="2564" t="s">
        <v>724</v>
      </c>
      <c r="C342" s="2564"/>
      <c r="D342" s="2564"/>
      <c r="E342" s="225">
        <f>SUM(E19,E79,E194,E224)</f>
        <v>8050.119999999999</v>
      </c>
      <c r="F342" s="318">
        <f>H342/E342-1</f>
        <v>0.11818743074637417</v>
      </c>
      <c r="G342" s="225">
        <f>SUM(G19,G79,G194,G224)</f>
        <v>8143.7910000000011</v>
      </c>
      <c r="H342" s="225">
        <f>H343+H344+H345</f>
        <v>9001.5429999999997</v>
      </c>
      <c r="I342" s="510">
        <f t="shared" si="139"/>
        <v>0.22754421103137568</v>
      </c>
      <c r="J342" s="230">
        <f t="shared" ref="J342" si="142">J343+J344+J345</f>
        <v>51.2</v>
      </c>
      <c r="K342" s="225">
        <f>K343+K344+K345</f>
        <v>11049.792000000001</v>
      </c>
      <c r="L342" s="225">
        <f t="shared" ref="L342:M342" si="143">L343+L344+L345</f>
        <v>11721.391000000001</v>
      </c>
      <c r="M342" s="225">
        <f t="shared" si="143"/>
        <v>12338.721000000003</v>
      </c>
      <c r="N342" s="1332"/>
      <c r="O342" s="234"/>
      <c r="P342" s="234"/>
      <c r="Q342" s="234"/>
      <c r="R342" s="234"/>
      <c r="S342" s="234"/>
      <c r="T342" s="234"/>
      <c r="U342" s="234"/>
      <c r="V342" s="234"/>
      <c r="W342" s="234"/>
    </row>
    <row r="343" spans="1:23" ht="39" hidden="1" customHeight="1">
      <c r="A343" s="236"/>
      <c r="B343" s="2581" t="s">
        <v>2755</v>
      </c>
      <c r="C343" s="2582"/>
      <c r="D343" s="2583"/>
      <c r="E343" s="514"/>
      <c r="F343" s="532"/>
      <c r="G343" s="514"/>
      <c r="H343" s="513">
        <f>SUM(H79,H194)</f>
        <v>8800.5399999999991</v>
      </c>
      <c r="I343" s="666">
        <f t="shared" si="139"/>
        <v>0.19422785419985611</v>
      </c>
      <c r="J343" s="515">
        <f>SUM(J79,J194)</f>
        <v>11</v>
      </c>
      <c r="K343" s="513">
        <f>SUM(K79,K194,K226)</f>
        <v>10509.85</v>
      </c>
      <c r="L343" s="513">
        <f t="shared" ref="L343:M343" si="144">SUM(L79,L194,L226)</f>
        <v>11154.37</v>
      </c>
      <c r="M343" s="513">
        <f t="shared" si="144"/>
        <v>11771.700000000003</v>
      </c>
      <c r="N343" s="1333"/>
      <c r="O343" s="234"/>
      <c r="P343" s="234"/>
      <c r="Q343" s="238"/>
      <c r="R343" s="234"/>
      <c r="S343" s="234"/>
      <c r="T343" s="234"/>
      <c r="U343" s="234"/>
      <c r="V343" s="234"/>
      <c r="W343" s="234"/>
    </row>
    <row r="344" spans="1:23" ht="39" hidden="1" customHeight="1">
      <c r="A344" s="236"/>
      <c r="B344" s="2581" t="s">
        <v>2756</v>
      </c>
      <c r="C344" s="2582"/>
      <c r="D344" s="2583"/>
      <c r="E344" s="514"/>
      <c r="F344" s="532"/>
      <c r="G344" s="514"/>
      <c r="H344" s="513">
        <f>H136</f>
        <v>39</v>
      </c>
      <c r="I344" s="666">
        <f t="shared" si="139"/>
        <v>3.0769230769230882E-2</v>
      </c>
      <c r="J344" s="515">
        <f>J136</f>
        <v>40.200000000000003</v>
      </c>
      <c r="K344" s="513">
        <f>K136</f>
        <v>40.200000000000003</v>
      </c>
      <c r="L344" s="513">
        <f t="shared" ref="L344:M344" si="145">L136</f>
        <v>40.200000000000003</v>
      </c>
      <c r="M344" s="513">
        <f t="shared" si="145"/>
        <v>40.200000000000003</v>
      </c>
      <c r="N344" s="170"/>
      <c r="O344" s="234"/>
      <c r="P344" s="234"/>
      <c r="Q344" s="234"/>
      <c r="R344" s="234"/>
      <c r="S344" s="234"/>
      <c r="T344" s="234"/>
      <c r="U344" s="234"/>
      <c r="V344" s="234"/>
      <c r="W344" s="234"/>
    </row>
    <row r="345" spans="1:23" ht="39" hidden="1" customHeight="1">
      <c r="A345" s="236"/>
      <c r="B345" s="2581" t="s">
        <v>4072</v>
      </c>
      <c r="C345" s="2582"/>
      <c r="D345" s="2583"/>
      <c r="E345" s="514"/>
      <c r="F345" s="532"/>
      <c r="G345" s="514"/>
      <c r="H345" s="513">
        <f>SUM(H112,H224,H334)</f>
        <v>162.00300000000001</v>
      </c>
      <c r="I345" s="666">
        <f t="shared" si="139"/>
        <v>2.0847700351228058</v>
      </c>
      <c r="J345" s="515">
        <f>SUM(J112,J224,J334)</f>
        <v>0</v>
      </c>
      <c r="K345" s="515">
        <f>SUM(K88,K94,K100,K106,K112,K231,K334,K234,K158)</f>
        <v>499.74199999999996</v>
      </c>
      <c r="L345" s="515">
        <f t="shared" ref="L345:M345" si="146">SUM(L88,L94,L100,L106,L112,L231,L334,L234,L158)</f>
        <v>526.82100000000003</v>
      </c>
      <c r="M345" s="515">
        <f t="shared" si="146"/>
        <v>526.82100000000003</v>
      </c>
      <c r="N345" s="170"/>
      <c r="O345" s="238"/>
      <c r="P345" s="234"/>
      <c r="Q345" s="234"/>
      <c r="R345" s="234"/>
      <c r="S345" s="234"/>
      <c r="T345" s="234"/>
      <c r="U345" s="234"/>
      <c r="V345" s="234"/>
      <c r="W345" s="234"/>
    </row>
    <row r="346" spans="1:23" ht="31.5" customHeight="1">
      <c r="A346" s="236"/>
      <c r="B346" s="2564" t="s">
        <v>725</v>
      </c>
      <c r="C346" s="2564"/>
      <c r="D346" s="2564"/>
      <c r="E346" s="225">
        <f>SUM(E17,E80,)</f>
        <v>774.452</v>
      </c>
      <c r="F346" s="318">
        <f>H346/E346-1</f>
        <v>4.6933831922443492E-2</v>
      </c>
      <c r="G346" s="225">
        <f>SUM(G17,G80,)</f>
        <v>804.84500000000003</v>
      </c>
      <c r="H346" s="225">
        <f>SUM(H17,H80,)</f>
        <v>810.80000000000018</v>
      </c>
      <c r="I346" s="510">
        <f t="shared" si="139"/>
        <v>9.5329304390725067E-2</v>
      </c>
      <c r="J346" s="230">
        <f>SUM(J17,J80,)</f>
        <v>755.05000000000007</v>
      </c>
      <c r="K346" s="225">
        <f>SUM(K17,K18,K80,K195,K225,)</f>
        <v>888.09300000000007</v>
      </c>
      <c r="L346" s="225">
        <f t="shared" ref="L346:M346" si="147">SUM(L17,L18,L80,L195,L225,)</f>
        <v>911.40000000000009</v>
      </c>
      <c r="M346" s="225">
        <f t="shared" si="147"/>
        <v>965.19999999999993</v>
      </c>
      <c r="N346" s="170"/>
      <c r="O346" s="234"/>
      <c r="P346" s="234"/>
      <c r="Q346" s="234"/>
      <c r="R346" s="234"/>
      <c r="S346" s="234"/>
      <c r="T346" s="234"/>
      <c r="U346" s="234"/>
      <c r="V346" s="234"/>
      <c r="W346" s="234"/>
    </row>
    <row r="347" spans="1:23" ht="36" customHeight="1">
      <c r="A347" s="236"/>
      <c r="B347" s="2564" t="s">
        <v>3874</v>
      </c>
      <c r="C347" s="2564"/>
      <c r="D347" s="2564"/>
      <c r="E347" s="225">
        <f>SUM(E205,E246,)</f>
        <v>66.822000000000003</v>
      </c>
      <c r="F347" s="318">
        <f>H347/E347-1</f>
        <v>50.041513274071413</v>
      </c>
      <c r="G347" s="225">
        <f>SUM(G205,G246,)</f>
        <v>982.476</v>
      </c>
      <c r="H347" s="225">
        <f>SUM(H206,H207,H246,H248,H287,H306,H327,H329,H277)</f>
        <v>3410.6959999999999</v>
      </c>
      <c r="I347" s="510">
        <f t="shared" si="139"/>
        <v>-8.5594259939906769E-2</v>
      </c>
      <c r="J347" s="225">
        <f>SUM(J206,J207,J246,J248,J287,J306,J327,J329,)</f>
        <v>2993.2069999999994</v>
      </c>
      <c r="K347" s="225">
        <f>SUM(K206,K207,K246,K248,K287,K306,K327,K329,K273,K277,)</f>
        <v>3118.7599999999998</v>
      </c>
      <c r="L347" s="225">
        <f t="shared" ref="L347:M347" si="148">SUM(L206,L207,L246,L248,L287,L306,L327,L329,L273,L277,)</f>
        <v>755.12</v>
      </c>
      <c r="M347" s="225">
        <f t="shared" si="148"/>
        <v>0</v>
      </c>
      <c r="N347" s="170"/>
      <c r="O347" s="234"/>
      <c r="P347" s="234"/>
      <c r="Q347" s="234"/>
      <c r="R347" s="234"/>
      <c r="S347" s="234"/>
      <c r="T347" s="234"/>
      <c r="U347" s="234"/>
      <c r="V347" s="234"/>
      <c r="W347" s="234"/>
    </row>
    <row r="348" spans="1:23" ht="27.75" customHeight="1">
      <c r="A348" s="236"/>
      <c r="B348" s="2564" t="s">
        <v>726</v>
      </c>
      <c r="C348" s="2564"/>
      <c r="D348" s="2564"/>
      <c r="E348" s="225">
        <v>0</v>
      </c>
      <c r="F348" s="318"/>
      <c r="G348" s="225">
        <v>0</v>
      </c>
      <c r="H348" s="225">
        <v>0</v>
      </c>
      <c r="I348" s="510"/>
      <c r="J348" s="230">
        <v>0</v>
      </c>
      <c r="K348" s="225">
        <f>SUM(K278,K309,)</f>
        <v>0</v>
      </c>
      <c r="L348" s="225">
        <f t="shared" ref="L348:M348" si="149">SUM(L278,L309,)</f>
        <v>36.908000000000001</v>
      </c>
      <c r="M348" s="225">
        <f t="shared" si="149"/>
        <v>108.86799999999999</v>
      </c>
      <c r="N348" s="170"/>
      <c r="O348" s="234"/>
      <c r="P348" s="234"/>
      <c r="Q348" s="234"/>
      <c r="R348" s="234"/>
      <c r="S348" s="234"/>
      <c r="T348" s="234"/>
      <c r="U348" s="234"/>
      <c r="V348" s="234"/>
      <c r="W348" s="234"/>
    </row>
    <row r="349" spans="1:23" ht="31.5" customHeight="1">
      <c r="A349" s="236"/>
      <c r="B349" s="2564" t="s">
        <v>727</v>
      </c>
      <c r="C349" s="2564"/>
      <c r="D349" s="2564"/>
      <c r="E349" s="225">
        <v>0</v>
      </c>
      <c r="F349" s="318"/>
      <c r="G349" s="225">
        <v>0</v>
      </c>
      <c r="H349" s="225">
        <f>SUM(H28,H38,H48,H57,H62,H68,H202,H247,H271,H275,H285,H308,)</f>
        <v>974.15699999999993</v>
      </c>
      <c r="I349" s="510">
        <f t="shared" si="139"/>
        <v>0.53204154977072493</v>
      </c>
      <c r="J349" s="230">
        <f>SUM(J28,J38,J48,J57,J62,J68,J202,J247,J271,J275,J285,J308,)</f>
        <v>248.09800000000001</v>
      </c>
      <c r="K349" s="225">
        <f>SUM(K202,K247,K271,K275,K285,K308,)</f>
        <v>1492.4490000000001</v>
      </c>
      <c r="L349" s="225">
        <f t="shared" ref="L349:M349" si="150">SUM(L202,L247,L271,L275,L285,L308,)</f>
        <v>0</v>
      </c>
      <c r="M349" s="225">
        <f t="shared" si="150"/>
        <v>0</v>
      </c>
      <c r="N349" s="1332"/>
      <c r="O349" s="234"/>
      <c r="P349" s="234"/>
      <c r="Q349" s="234"/>
      <c r="R349" s="234"/>
      <c r="S349" s="234"/>
      <c r="T349" s="234"/>
      <c r="U349" s="234"/>
      <c r="V349" s="234"/>
      <c r="W349" s="234"/>
    </row>
    <row r="350" spans="1:23" ht="39" customHeight="1">
      <c r="A350" s="237"/>
      <c r="B350" s="2488" t="s">
        <v>728</v>
      </c>
      <c r="C350" s="2488"/>
      <c r="D350" s="2488"/>
      <c r="E350" s="356">
        <v>0</v>
      </c>
      <c r="F350" s="318"/>
      <c r="G350" s="356">
        <v>0</v>
      </c>
      <c r="H350" s="356">
        <f>H20</f>
        <v>0.33300000000000002</v>
      </c>
      <c r="I350" s="765">
        <f t="shared" si="139"/>
        <v>10.984984984984985</v>
      </c>
      <c r="J350" s="369">
        <f>J20</f>
        <v>3.9910000000000001</v>
      </c>
      <c r="K350" s="356">
        <f>K20</f>
        <v>3.9910000000000001</v>
      </c>
      <c r="L350" s="915">
        <f>L20</f>
        <v>4.07</v>
      </c>
      <c r="M350" s="225">
        <f>M20</f>
        <v>4.07</v>
      </c>
      <c r="N350" s="1332"/>
      <c r="O350" s="234"/>
      <c r="P350" s="234"/>
      <c r="Q350" s="234"/>
      <c r="R350" s="234"/>
      <c r="S350" s="234"/>
      <c r="T350" s="234"/>
      <c r="U350" s="234"/>
      <c r="V350" s="234"/>
      <c r="W350" s="234"/>
    </row>
    <row r="351" spans="1:23" ht="39" customHeight="1">
      <c r="A351" s="236"/>
      <c r="B351" s="2609" t="s">
        <v>1092</v>
      </c>
      <c r="C351" s="2609"/>
      <c r="D351" s="2609"/>
      <c r="E351" s="240" t="e">
        <f>E340+E350</f>
        <v>#REF!</v>
      </c>
      <c r="F351" s="318" t="e">
        <f>H351/E351-1</f>
        <v>#REF!</v>
      </c>
      <c r="G351" s="240" t="e">
        <f>G340+G350</f>
        <v>#REF!</v>
      </c>
      <c r="H351" s="240">
        <f>H340+H350</f>
        <v>21438.918999999998</v>
      </c>
      <c r="I351" s="357">
        <f t="shared" si="139"/>
        <v>0.12712096164923259</v>
      </c>
      <c r="J351" s="279">
        <f t="shared" ref="J351:M351" si="151">J340+J350</f>
        <v>11458.420999999998</v>
      </c>
      <c r="K351" s="240">
        <f>K340+K350</f>
        <v>24164.255000000001</v>
      </c>
      <c r="L351" s="921">
        <f>L340+L350</f>
        <v>21471.922000000002</v>
      </c>
      <c r="M351" s="240">
        <f t="shared" si="151"/>
        <v>21560.868000000002</v>
      </c>
      <c r="N351" s="170"/>
      <c r="O351" s="234"/>
      <c r="P351" s="234"/>
      <c r="Q351" s="234"/>
      <c r="R351" s="234"/>
      <c r="S351" s="234"/>
      <c r="T351" s="234"/>
      <c r="U351" s="234"/>
      <c r="V351" s="234"/>
      <c r="W351" s="234"/>
    </row>
    <row r="352" spans="1:23" ht="30.75" customHeight="1">
      <c r="A352" s="236"/>
      <c r="B352" s="2488" t="s">
        <v>2028</v>
      </c>
      <c r="C352" s="2488"/>
      <c r="D352" s="2488"/>
      <c r="E352" s="241" t="e">
        <f>SUM(E310,E288,#REF!)</f>
        <v>#REF!</v>
      </c>
      <c r="F352" s="318" t="e">
        <f>H352/E352-1</f>
        <v>#REF!</v>
      </c>
      <c r="G352" s="241" t="e">
        <f>SUM(G310,G288,#REF!)</f>
        <v>#REF!</v>
      </c>
      <c r="H352" s="241">
        <f>SUM(H279,H288,H310,)</f>
        <v>2231.2910000000002</v>
      </c>
      <c r="I352" s="239">
        <f t="shared" si="139"/>
        <v>8.1844994669005411E-2</v>
      </c>
      <c r="J352" s="280">
        <f>SUM(J274,J288,J310,)</f>
        <v>2576.989</v>
      </c>
      <c r="K352" s="241">
        <f>SUM(K274,K288,K310,)</f>
        <v>2413.9110000000001</v>
      </c>
      <c r="L352" s="920">
        <f>SUM(L274,L288,L310,)</f>
        <v>316.40100000000001</v>
      </c>
      <c r="M352" s="240">
        <f>SUM(M274,M288,M310,)</f>
        <v>0</v>
      </c>
      <c r="N352" s="170"/>
      <c r="O352" s="234"/>
      <c r="P352" s="234"/>
      <c r="Q352" s="234"/>
      <c r="R352" s="234"/>
      <c r="S352" s="234"/>
      <c r="T352" s="234"/>
      <c r="U352" s="234"/>
      <c r="V352" s="234"/>
      <c r="W352" s="234"/>
    </row>
    <row r="353" spans="1:23" ht="39" customHeight="1">
      <c r="A353" s="236"/>
      <c r="B353" s="2609" t="s">
        <v>729</v>
      </c>
      <c r="C353" s="2609"/>
      <c r="D353" s="2609"/>
      <c r="E353" s="241">
        <v>0</v>
      </c>
      <c r="F353" s="318">
        <v>0</v>
      </c>
      <c r="G353" s="241">
        <v>0</v>
      </c>
      <c r="H353" s="239">
        <v>0.36</v>
      </c>
      <c r="I353" s="239">
        <f>K353/H353-1</f>
        <v>-0.64688621764102061</v>
      </c>
      <c r="J353" s="277"/>
      <c r="K353" s="239">
        <f>K351/H351-1</f>
        <v>0.12712096164923259</v>
      </c>
      <c r="L353" s="922">
        <f>L351/H351-1</f>
        <v>1.5393966458852049E-3</v>
      </c>
      <c r="M353" s="357">
        <f t="shared" ref="M353" si="152">M351/J351-1</f>
        <v>0.88166135630729614</v>
      </c>
      <c r="N353" s="170"/>
      <c r="P353" s="234"/>
      <c r="Q353" s="234"/>
      <c r="R353" s="234"/>
      <c r="S353" s="234"/>
      <c r="T353" s="234"/>
      <c r="U353" s="234"/>
      <c r="V353" s="234"/>
      <c r="W353" s="234"/>
    </row>
    <row r="354" spans="1:23" ht="39" customHeight="1">
      <c r="E354" s="295"/>
      <c r="F354" s="295"/>
      <c r="O354" s="234"/>
    </row>
    <row r="355" spans="1:23" ht="39" hidden="1" customHeight="1">
      <c r="E355" s="295"/>
      <c r="F355" s="295"/>
      <c r="I355" s="295" t="s">
        <v>4065</v>
      </c>
      <c r="J355" s="524">
        <v>9991.7119999999995</v>
      </c>
    </row>
    <row r="356" spans="1:23" ht="39" hidden="1" customHeight="1">
      <c r="B356" s="2622"/>
      <c r="C356" s="2622"/>
      <c r="D356" s="2622"/>
      <c r="E356" s="295"/>
      <c r="F356" s="295"/>
      <c r="G356" s="358"/>
      <c r="H356" s="627"/>
      <c r="I356" s="627"/>
      <c r="J356" s="628">
        <f>J355-K341-K346-K348-K349</f>
        <v>0</v>
      </c>
      <c r="K356" s="358"/>
      <c r="L356" s="358"/>
      <c r="M356" s="358"/>
      <c r="O356" s="358"/>
      <c r="P356" s="358"/>
      <c r="Q356" s="2622"/>
      <c r="R356" s="2622"/>
    </row>
    <row r="357" spans="1:23" ht="39" hidden="1" customHeight="1">
      <c r="E357" s="295"/>
      <c r="F357" s="295"/>
      <c r="H357" s="306"/>
      <c r="I357" s="306"/>
      <c r="J357" s="525"/>
      <c r="K357" s="1213">
        <v>23561.475999999999</v>
      </c>
      <c r="L357" s="524">
        <v>21467.851999999999</v>
      </c>
      <c r="M357" s="1213">
        <v>21556.797999999999</v>
      </c>
    </row>
    <row r="358" spans="1:23" ht="39" hidden="1" customHeight="1">
      <c r="E358" s="295"/>
      <c r="F358" s="295"/>
      <c r="J358" s="1212" t="s">
        <v>4131</v>
      </c>
      <c r="K358" s="1214">
        <f>K351-K357</f>
        <v>602.77900000000227</v>
      </c>
      <c r="L358" s="525">
        <f>L357-L351</f>
        <v>-4.0700000000033469</v>
      </c>
      <c r="M358" s="1214">
        <f>M357-M351</f>
        <v>-4.0700000000033469</v>
      </c>
    </row>
    <row r="359" spans="1:23" ht="39" hidden="1" customHeight="1">
      <c r="E359" s="295"/>
      <c r="F359" s="295"/>
    </row>
    <row r="360" spans="1:23" ht="39" hidden="1" customHeight="1">
      <c r="E360" s="295"/>
      <c r="F360" s="295"/>
    </row>
    <row r="361" spans="1:23" ht="39" hidden="1" customHeight="1">
      <c r="E361" s="295"/>
      <c r="F361" s="295"/>
    </row>
    <row r="362" spans="1:23" ht="39" hidden="1" customHeight="1">
      <c r="E362" s="295"/>
      <c r="F362" s="295"/>
      <c r="H362" s="306"/>
      <c r="I362" s="306"/>
      <c r="J362" s="525"/>
    </row>
    <row r="363" spans="1:23" ht="39" hidden="1" customHeight="1">
      <c r="E363" s="295"/>
      <c r="F363" s="295"/>
    </row>
    <row r="364" spans="1:23" ht="39" hidden="1" customHeight="1">
      <c r="E364" s="295"/>
      <c r="F364" s="295"/>
    </row>
    <row r="365" spans="1:23" ht="39" customHeight="1">
      <c r="E365" s="295"/>
      <c r="F365" s="295"/>
    </row>
    <row r="366" spans="1:23" ht="39" customHeight="1">
      <c r="E366" s="295"/>
      <c r="F366" s="295"/>
    </row>
    <row r="367" spans="1:23" ht="39" customHeight="1">
      <c r="E367" s="295"/>
      <c r="F367" s="295"/>
    </row>
    <row r="368" spans="1:23" ht="39" customHeight="1">
      <c r="E368" s="295"/>
      <c r="F368" s="295"/>
    </row>
    <row r="369" spans="5:6" ht="39" customHeight="1">
      <c r="E369" s="295"/>
      <c r="F369" s="295"/>
    </row>
    <row r="370" spans="5:6" ht="39" customHeight="1">
      <c r="E370" s="295"/>
      <c r="F370" s="295"/>
    </row>
    <row r="371" spans="5:6" ht="39" customHeight="1">
      <c r="E371" s="295"/>
      <c r="F371" s="295"/>
    </row>
    <row r="372" spans="5:6" ht="39" customHeight="1">
      <c r="E372" s="295"/>
      <c r="F372" s="295"/>
    </row>
    <row r="373" spans="5:6" ht="39" customHeight="1">
      <c r="E373" s="295"/>
      <c r="F373" s="295"/>
    </row>
    <row r="374" spans="5:6" ht="39" customHeight="1">
      <c r="E374" s="295"/>
      <c r="F374" s="295"/>
    </row>
    <row r="375" spans="5:6" ht="39" customHeight="1">
      <c r="E375" s="295"/>
      <c r="F375" s="295"/>
    </row>
    <row r="376" spans="5:6" ht="39" customHeight="1">
      <c r="E376" s="295"/>
      <c r="F376" s="295"/>
    </row>
    <row r="377" spans="5:6" ht="39" customHeight="1">
      <c r="E377" s="295"/>
      <c r="F377" s="295"/>
    </row>
    <row r="378" spans="5:6" ht="39" customHeight="1">
      <c r="E378" s="295"/>
      <c r="F378" s="295"/>
    </row>
    <row r="379" spans="5:6" ht="39" customHeight="1">
      <c r="E379" s="295"/>
      <c r="F379" s="295"/>
    </row>
    <row r="380" spans="5:6" ht="39" customHeight="1">
      <c r="E380" s="295"/>
      <c r="F380" s="295"/>
    </row>
    <row r="381" spans="5:6" ht="39" customHeight="1">
      <c r="E381" s="295"/>
      <c r="F381" s="295"/>
    </row>
    <row r="382" spans="5:6" ht="39" customHeight="1">
      <c r="E382" s="295"/>
      <c r="F382" s="295"/>
    </row>
    <row r="383" spans="5:6" ht="39" customHeight="1">
      <c r="E383" s="295"/>
      <c r="F383" s="295"/>
    </row>
    <row r="384" spans="5:6" ht="39" customHeight="1">
      <c r="E384" s="295"/>
      <c r="F384" s="295"/>
    </row>
    <row r="385" spans="5:6" ht="39" customHeight="1">
      <c r="E385" s="295"/>
      <c r="F385" s="295"/>
    </row>
    <row r="386" spans="5:6" ht="39" customHeight="1">
      <c r="E386" s="295"/>
      <c r="F386" s="295"/>
    </row>
    <row r="387" spans="5:6" ht="39" customHeight="1">
      <c r="E387" s="295"/>
      <c r="F387" s="295"/>
    </row>
    <row r="388" spans="5:6" ht="39" customHeight="1">
      <c r="E388" s="295"/>
      <c r="F388" s="295"/>
    </row>
    <row r="389" spans="5:6" ht="39" customHeight="1">
      <c r="E389" s="295"/>
      <c r="F389" s="295"/>
    </row>
    <row r="390" spans="5:6" ht="39" customHeight="1">
      <c r="E390" s="295"/>
      <c r="F390" s="295"/>
    </row>
    <row r="391" spans="5:6" ht="39" customHeight="1">
      <c r="E391" s="295"/>
      <c r="F391" s="295"/>
    </row>
    <row r="392" spans="5:6" ht="39" customHeight="1">
      <c r="E392" s="295"/>
      <c r="F392" s="295"/>
    </row>
    <row r="393" spans="5:6" ht="39" customHeight="1">
      <c r="E393" s="295"/>
      <c r="F393" s="295"/>
    </row>
    <row r="394" spans="5:6" ht="39" customHeight="1">
      <c r="E394" s="295"/>
      <c r="F394" s="295"/>
    </row>
    <row r="395" spans="5:6" ht="39" customHeight="1">
      <c r="E395" s="295"/>
      <c r="F395" s="295"/>
    </row>
    <row r="396" spans="5:6" ht="39" customHeight="1">
      <c r="E396" s="295"/>
      <c r="F396" s="295"/>
    </row>
    <row r="397" spans="5:6" ht="39" customHeight="1">
      <c r="E397" s="295"/>
      <c r="F397" s="295"/>
    </row>
    <row r="398" spans="5:6" ht="39" customHeight="1">
      <c r="E398" s="295"/>
      <c r="F398" s="295"/>
    </row>
    <row r="399" spans="5:6" ht="39" customHeight="1">
      <c r="E399" s="295"/>
      <c r="F399" s="295"/>
    </row>
    <row r="400" spans="5:6" ht="39" customHeight="1">
      <c r="E400" s="295"/>
      <c r="F400" s="295"/>
    </row>
    <row r="401" spans="5:6" ht="39" customHeight="1">
      <c r="E401" s="295"/>
      <c r="F401" s="295"/>
    </row>
    <row r="402" spans="5:6" ht="39" customHeight="1">
      <c r="E402" s="295"/>
      <c r="F402" s="295"/>
    </row>
    <row r="403" spans="5:6" ht="39" customHeight="1">
      <c r="E403" s="295"/>
      <c r="F403" s="295"/>
    </row>
    <row r="404" spans="5:6" ht="39" customHeight="1">
      <c r="E404" s="295"/>
      <c r="F404" s="295"/>
    </row>
    <row r="405" spans="5:6" ht="39" customHeight="1">
      <c r="E405" s="295"/>
      <c r="F405" s="295"/>
    </row>
    <row r="406" spans="5:6" ht="39" customHeight="1">
      <c r="E406" s="295"/>
      <c r="F406" s="295"/>
    </row>
    <row r="407" spans="5:6" ht="39" customHeight="1">
      <c r="E407" s="295"/>
      <c r="F407" s="295"/>
    </row>
    <row r="408" spans="5:6" ht="39" customHeight="1">
      <c r="E408" s="295"/>
      <c r="F408" s="295"/>
    </row>
    <row r="409" spans="5:6" ht="39" customHeight="1">
      <c r="E409" s="295"/>
      <c r="F409" s="295"/>
    </row>
    <row r="410" spans="5:6" ht="39" customHeight="1">
      <c r="E410" s="295"/>
      <c r="F410" s="295"/>
    </row>
    <row r="411" spans="5:6" ht="39" customHeight="1">
      <c r="E411" s="295"/>
      <c r="F411" s="295"/>
    </row>
    <row r="412" spans="5:6" ht="39" customHeight="1">
      <c r="E412" s="295"/>
      <c r="F412" s="295"/>
    </row>
    <row r="413" spans="5:6" ht="39" customHeight="1">
      <c r="E413" s="295"/>
      <c r="F413" s="295"/>
    </row>
    <row r="414" spans="5:6" ht="39" customHeight="1">
      <c r="E414" s="295"/>
      <c r="F414" s="295"/>
    </row>
    <row r="415" spans="5:6" ht="39" customHeight="1">
      <c r="E415" s="295"/>
      <c r="F415" s="295"/>
    </row>
    <row r="416" spans="5:6" ht="39" customHeight="1">
      <c r="E416" s="295"/>
      <c r="F416" s="295"/>
    </row>
    <row r="417" spans="5:6" ht="39" customHeight="1">
      <c r="E417" s="295"/>
      <c r="F417" s="295"/>
    </row>
    <row r="418" spans="5:6" ht="39" customHeight="1">
      <c r="E418" s="295"/>
      <c r="F418" s="295"/>
    </row>
    <row r="419" spans="5:6" ht="39" customHeight="1">
      <c r="E419" s="295"/>
      <c r="F419" s="295"/>
    </row>
    <row r="420" spans="5:6" ht="39" customHeight="1">
      <c r="E420" s="295"/>
      <c r="F420" s="295"/>
    </row>
    <row r="421" spans="5:6" ht="39" customHeight="1">
      <c r="E421" s="295"/>
      <c r="F421" s="295"/>
    </row>
    <row r="422" spans="5:6" ht="39" customHeight="1">
      <c r="E422" s="295"/>
      <c r="F422" s="295"/>
    </row>
    <row r="423" spans="5:6" ht="39" customHeight="1">
      <c r="E423" s="295"/>
      <c r="F423" s="295"/>
    </row>
    <row r="424" spans="5:6" ht="39" customHeight="1">
      <c r="E424" s="295"/>
      <c r="F424" s="295"/>
    </row>
    <row r="425" spans="5:6" ht="39" customHeight="1">
      <c r="E425" s="295"/>
      <c r="F425" s="295"/>
    </row>
    <row r="426" spans="5:6" ht="39" customHeight="1">
      <c r="E426" s="295"/>
      <c r="F426" s="295"/>
    </row>
    <row r="427" spans="5:6" ht="39" customHeight="1">
      <c r="E427" s="295"/>
      <c r="F427" s="295"/>
    </row>
    <row r="428" spans="5:6" ht="39" customHeight="1">
      <c r="E428" s="295"/>
      <c r="F428" s="295"/>
    </row>
    <row r="429" spans="5:6" ht="39" customHeight="1">
      <c r="E429" s="295"/>
      <c r="F429" s="295"/>
    </row>
    <row r="430" spans="5:6" ht="39" customHeight="1">
      <c r="E430" s="295"/>
      <c r="F430" s="295"/>
    </row>
    <row r="431" spans="5:6" ht="39" customHeight="1">
      <c r="E431" s="295"/>
      <c r="F431" s="295"/>
    </row>
    <row r="432" spans="5:6" ht="39" customHeight="1">
      <c r="E432" s="295"/>
      <c r="F432" s="295"/>
    </row>
    <row r="433" spans="5:6" ht="39" customHeight="1">
      <c r="E433" s="295"/>
      <c r="F433" s="295"/>
    </row>
    <row r="434" spans="5:6" ht="39" customHeight="1">
      <c r="E434" s="295"/>
      <c r="F434" s="295"/>
    </row>
    <row r="435" spans="5:6" ht="39" customHeight="1">
      <c r="E435" s="295"/>
      <c r="F435" s="295"/>
    </row>
    <row r="436" spans="5:6" ht="39" customHeight="1">
      <c r="E436" s="295"/>
      <c r="F436" s="295"/>
    </row>
    <row r="437" spans="5:6" ht="39" customHeight="1">
      <c r="E437" s="295"/>
      <c r="F437" s="295"/>
    </row>
    <row r="438" spans="5:6" ht="39" customHeight="1">
      <c r="E438" s="295"/>
      <c r="F438" s="295"/>
    </row>
    <row r="439" spans="5:6" ht="39" customHeight="1">
      <c r="E439" s="295"/>
      <c r="F439" s="295"/>
    </row>
    <row r="440" spans="5:6" ht="39" customHeight="1">
      <c r="E440" s="295"/>
      <c r="F440" s="295"/>
    </row>
    <row r="441" spans="5:6" ht="39" customHeight="1">
      <c r="E441" s="295"/>
      <c r="F441" s="295"/>
    </row>
    <row r="442" spans="5:6" ht="39" customHeight="1">
      <c r="E442" s="295"/>
      <c r="F442" s="295"/>
    </row>
    <row r="443" spans="5:6" ht="39" customHeight="1">
      <c r="E443" s="295"/>
      <c r="F443" s="295"/>
    </row>
    <row r="444" spans="5:6" ht="39" customHeight="1">
      <c r="E444" s="295"/>
      <c r="F444" s="295"/>
    </row>
    <row r="445" spans="5:6" ht="39" customHeight="1">
      <c r="E445" s="295"/>
      <c r="F445" s="295"/>
    </row>
    <row r="446" spans="5:6" ht="39" customHeight="1">
      <c r="E446" s="295"/>
      <c r="F446" s="295"/>
    </row>
    <row r="447" spans="5:6" ht="39" customHeight="1">
      <c r="E447" s="295"/>
      <c r="F447" s="295"/>
    </row>
    <row r="448" spans="5:6" ht="39" customHeight="1">
      <c r="E448" s="295"/>
      <c r="F448" s="295"/>
    </row>
    <row r="449" spans="5:6" ht="39" customHeight="1">
      <c r="E449" s="295"/>
      <c r="F449" s="295"/>
    </row>
    <row r="450" spans="5:6" ht="39" customHeight="1">
      <c r="E450" s="295"/>
      <c r="F450" s="295"/>
    </row>
    <row r="451" spans="5:6" ht="39" customHeight="1">
      <c r="E451" s="295"/>
      <c r="F451" s="295"/>
    </row>
    <row r="452" spans="5:6" ht="39" customHeight="1">
      <c r="E452" s="295"/>
      <c r="F452" s="295"/>
    </row>
    <row r="453" spans="5:6" ht="39" customHeight="1">
      <c r="E453" s="295"/>
      <c r="F453" s="295"/>
    </row>
    <row r="454" spans="5:6" ht="39" customHeight="1">
      <c r="E454" s="295"/>
      <c r="F454" s="295"/>
    </row>
    <row r="455" spans="5:6" ht="39" customHeight="1">
      <c r="E455" s="295"/>
      <c r="F455" s="295"/>
    </row>
    <row r="456" spans="5:6" ht="39" customHeight="1">
      <c r="E456" s="295"/>
      <c r="F456" s="295"/>
    </row>
    <row r="457" spans="5:6" ht="39" customHeight="1">
      <c r="E457" s="295"/>
      <c r="F457" s="295"/>
    </row>
    <row r="458" spans="5:6" ht="39" customHeight="1">
      <c r="E458" s="295"/>
      <c r="F458" s="295"/>
    </row>
    <row r="459" spans="5:6" ht="39" customHeight="1">
      <c r="E459" s="295"/>
      <c r="F459" s="295"/>
    </row>
    <row r="460" spans="5:6" ht="39" customHeight="1">
      <c r="E460" s="295"/>
      <c r="F460" s="295"/>
    </row>
    <row r="461" spans="5:6" ht="39" customHeight="1">
      <c r="E461" s="295"/>
      <c r="F461" s="295"/>
    </row>
    <row r="462" spans="5:6" ht="39" customHeight="1">
      <c r="E462" s="295"/>
      <c r="F462" s="295"/>
    </row>
    <row r="463" spans="5:6" ht="39" customHeight="1">
      <c r="E463" s="295"/>
      <c r="F463" s="295"/>
    </row>
    <row r="464" spans="5:6" ht="39" customHeight="1">
      <c r="E464" s="295"/>
      <c r="F464" s="295"/>
    </row>
    <row r="465" spans="5:6" ht="39" customHeight="1">
      <c r="E465" s="295"/>
      <c r="F465" s="295"/>
    </row>
    <row r="466" spans="5:6" ht="39" customHeight="1">
      <c r="E466" s="295"/>
      <c r="F466" s="295"/>
    </row>
    <row r="467" spans="5:6" ht="39" customHeight="1">
      <c r="E467" s="295"/>
      <c r="F467" s="295"/>
    </row>
    <row r="468" spans="5:6" ht="39" customHeight="1">
      <c r="E468" s="295"/>
      <c r="F468" s="295"/>
    </row>
    <row r="469" spans="5:6" ht="39" customHeight="1">
      <c r="E469" s="295"/>
      <c r="F469" s="295"/>
    </row>
    <row r="470" spans="5:6" ht="39" customHeight="1">
      <c r="E470" s="295"/>
      <c r="F470" s="295"/>
    </row>
    <row r="471" spans="5:6" ht="39" customHeight="1">
      <c r="E471" s="295"/>
      <c r="F471" s="295"/>
    </row>
    <row r="472" spans="5:6" ht="39" customHeight="1">
      <c r="E472" s="295"/>
      <c r="F472" s="295"/>
    </row>
    <row r="473" spans="5:6" ht="39" customHeight="1">
      <c r="E473" s="295"/>
      <c r="F473" s="295"/>
    </row>
    <row r="474" spans="5:6" ht="39" customHeight="1">
      <c r="E474" s="295"/>
      <c r="F474" s="295"/>
    </row>
    <row r="475" spans="5:6" ht="39" customHeight="1">
      <c r="E475" s="295"/>
      <c r="F475" s="295"/>
    </row>
    <row r="476" spans="5:6" ht="39" customHeight="1">
      <c r="E476" s="295"/>
      <c r="F476" s="295"/>
    </row>
    <row r="477" spans="5:6" ht="39" customHeight="1">
      <c r="E477" s="295"/>
      <c r="F477" s="295"/>
    </row>
    <row r="478" spans="5:6" ht="39" customHeight="1">
      <c r="E478" s="295"/>
      <c r="F478" s="295"/>
    </row>
    <row r="479" spans="5:6" ht="39" customHeight="1">
      <c r="E479" s="295"/>
      <c r="F479" s="295"/>
    </row>
    <row r="480" spans="5:6" ht="39" customHeight="1">
      <c r="E480" s="295"/>
      <c r="F480" s="295"/>
    </row>
    <row r="481" spans="5:6" ht="39" customHeight="1">
      <c r="E481" s="295"/>
      <c r="F481" s="295"/>
    </row>
    <row r="482" spans="5:6" ht="39" customHeight="1">
      <c r="E482" s="295"/>
      <c r="F482" s="295"/>
    </row>
    <row r="483" spans="5:6" ht="39" customHeight="1">
      <c r="E483" s="295"/>
      <c r="F483" s="295"/>
    </row>
    <row r="484" spans="5:6" ht="39" customHeight="1">
      <c r="E484" s="295"/>
      <c r="F484" s="295"/>
    </row>
    <row r="485" spans="5:6" ht="39" customHeight="1">
      <c r="E485" s="295"/>
      <c r="F485" s="295"/>
    </row>
    <row r="486" spans="5:6" ht="39" customHeight="1">
      <c r="E486" s="295"/>
      <c r="F486" s="295"/>
    </row>
    <row r="487" spans="5:6" ht="39" customHeight="1">
      <c r="E487" s="295"/>
      <c r="F487" s="295"/>
    </row>
    <row r="488" spans="5:6" ht="39" customHeight="1">
      <c r="E488" s="295"/>
      <c r="F488" s="295"/>
    </row>
    <row r="489" spans="5:6" ht="39" customHeight="1">
      <c r="E489" s="295"/>
      <c r="F489" s="295"/>
    </row>
    <row r="490" spans="5:6" ht="39" customHeight="1">
      <c r="E490" s="295"/>
      <c r="F490" s="295"/>
    </row>
    <row r="491" spans="5:6" ht="39" customHeight="1">
      <c r="E491" s="295"/>
      <c r="F491" s="295"/>
    </row>
    <row r="492" spans="5:6" ht="39" customHeight="1">
      <c r="E492" s="295"/>
      <c r="F492" s="295"/>
    </row>
    <row r="493" spans="5:6" ht="39" customHeight="1">
      <c r="E493" s="295"/>
      <c r="F493" s="295"/>
    </row>
    <row r="494" spans="5:6" ht="39" customHeight="1">
      <c r="E494" s="295"/>
      <c r="F494" s="295"/>
    </row>
    <row r="495" spans="5:6" ht="39" customHeight="1">
      <c r="E495" s="295"/>
      <c r="F495" s="295"/>
    </row>
    <row r="496" spans="5:6" ht="39" customHeight="1">
      <c r="E496" s="295"/>
      <c r="F496" s="295"/>
    </row>
    <row r="497" spans="5:6" ht="39" customHeight="1">
      <c r="E497" s="295"/>
      <c r="F497" s="295"/>
    </row>
    <row r="498" spans="5:6" ht="39" customHeight="1">
      <c r="E498" s="295"/>
      <c r="F498" s="295"/>
    </row>
    <row r="499" spans="5:6" ht="39" customHeight="1">
      <c r="E499" s="295"/>
      <c r="F499" s="295"/>
    </row>
    <row r="500" spans="5:6" ht="39" customHeight="1">
      <c r="E500" s="295"/>
      <c r="F500" s="295"/>
    </row>
    <row r="501" spans="5:6" ht="39" customHeight="1">
      <c r="E501" s="295"/>
      <c r="F501" s="295"/>
    </row>
    <row r="502" spans="5:6" ht="39" customHeight="1">
      <c r="E502" s="295"/>
      <c r="F502" s="295"/>
    </row>
    <row r="503" spans="5:6" ht="39" customHeight="1">
      <c r="E503" s="295"/>
      <c r="F503" s="295"/>
    </row>
    <row r="504" spans="5:6" ht="39" customHeight="1">
      <c r="E504" s="295"/>
      <c r="F504" s="295"/>
    </row>
    <row r="505" spans="5:6" ht="39" customHeight="1">
      <c r="E505" s="295"/>
      <c r="F505" s="295"/>
    </row>
    <row r="506" spans="5:6" ht="39" customHeight="1">
      <c r="E506" s="295"/>
      <c r="F506" s="295"/>
    </row>
    <row r="507" spans="5:6" ht="39" customHeight="1">
      <c r="E507" s="295"/>
      <c r="F507" s="295"/>
    </row>
    <row r="508" spans="5:6" ht="39" customHeight="1">
      <c r="E508" s="295"/>
      <c r="F508" s="295"/>
    </row>
    <row r="509" spans="5:6" ht="39" customHeight="1">
      <c r="E509" s="295"/>
      <c r="F509" s="295"/>
    </row>
    <row r="510" spans="5:6" ht="39" customHeight="1">
      <c r="E510" s="295"/>
      <c r="F510" s="295"/>
    </row>
    <row r="511" spans="5:6" ht="39" customHeight="1">
      <c r="E511" s="295"/>
      <c r="F511" s="295"/>
    </row>
    <row r="512" spans="5:6" ht="39" customHeight="1">
      <c r="E512" s="295"/>
      <c r="F512" s="295"/>
    </row>
    <row r="513" spans="5:6" ht="39" customHeight="1">
      <c r="E513" s="295"/>
      <c r="F513" s="295"/>
    </row>
    <row r="514" spans="5:6" ht="39" customHeight="1">
      <c r="E514" s="295"/>
      <c r="F514" s="295"/>
    </row>
    <row r="515" spans="5:6" ht="39" customHeight="1">
      <c r="E515" s="295"/>
      <c r="F515" s="295"/>
    </row>
    <row r="516" spans="5:6" ht="39" customHeight="1">
      <c r="E516" s="295"/>
      <c r="F516" s="295"/>
    </row>
    <row r="517" spans="5:6" ht="39" customHeight="1">
      <c r="E517" s="295"/>
      <c r="F517" s="295"/>
    </row>
    <row r="518" spans="5:6" ht="39" customHeight="1">
      <c r="E518" s="295"/>
      <c r="F518" s="295"/>
    </row>
    <row r="519" spans="5:6" ht="39" customHeight="1">
      <c r="E519" s="295"/>
      <c r="F519" s="295"/>
    </row>
    <row r="520" spans="5:6" ht="39" customHeight="1">
      <c r="E520" s="295"/>
      <c r="F520" s="295"/>
    </row>
    <row r="521" spans="5:6" ht="39" customHeight="1">
      <c r="E521" s="295"/>
      <c r="F521" s="295"/>
    </row>
    <row r="522" spans="5:6" ht="39" customHeight="1">
      <c r="E522" s="295"/>
      <c r="F522" s="295"/>
    </row>
    <row r="523" spans="5:6" ht="39" customHeight="1">
      <c r="E523" s="295"/>
      <c r="F523" s="295"/>
    </row>
    <row r="524" spans="5:6" ht="39" customHeight="1">
      <c r="E524" s="295"/>
      <c r="F524" s="295"/>
    </row>
    <row r="525" spans="5:6" ht="39" customHeight="1">
      <c r="E525" s="295"/>
      <c r="F525" s="295"/>
    </row>
    <row r="526" spans="5:6" ht="39" customHeight="1">
      <c r="E526" s="295"/>
      <c r="F526" s="295"/>
    </row>
    <row r="527" spans="5:6" ht="39" customHeight="1">
      <c r="E527" s="295"/>
      <c r="F527" s="295"/>
    </row>
    <row r="528" spans="5:6" ht="39" customHeight="1">
      <c r="E528" s="295"/>
      <c r="F528" s="295"/>
    </row>
    <row r="529" spans="5:6" ht="39" customHeight="1">
      <c r="E529" s="295"/>
      <c r="F529" s="295"/>
    </row>
    <row r="530" spans="5:6" ht="39" customHeight="1">
      <c r="E530" s="295"/>
      <c r="F530" s="295"/>
    </row>
    <row r="531" spans="5:6" ht="39" customHeight="1">
      <c r="E531" s="295"/>
      <c r="F531" s="295"/>
    </row>
    <row r="532" spans="5:6" ht="39" customHeight="1">
      <c r="E532" s="295"/>
      <c r="F532" s="295"/>
    </row>
    <row r="533" spans="5:6" ht="39" customHeight="1">
      <c r="E533" s="295"/>
      <c r="F533" s="295"/>
    </row>
    <row r="534" spans="5:6" ht="39" customHeight="1">
      <c r="E534" s="295"/>
      <c r="F534" s="295"/>
    </row>
    <row r="535" spans="5:6" ht="39" customHeight="1">
      <c r="E535" s="295"/>
      <c r="F535" s="295"/>
    </row>
    <row r="536" spans="5:6" ht="39" customHeight="1">
      <c r="E536" s="295"/>
      <c r="F536" s="295"/>
    </row>
    <row r="537" spans="5:6" ht="39" customHeight="1">
      <c r="E537" s="295"/>
      <c r="F537" s="295"/>
    </row>
    <row r="538" spans="5:6" ht="39" customHeight="1">
      <c r="E538" s="295"/>
      <c r="F538" s="295"/>
    </row>
    <row r="539" spans="5:6" ht="39" customHeight="1">
      <c r="E539" s="295"/>
      <c r="F539" s="295"/>
    </row>
    <row r="540" spans="5:6" ht="39" customHeight="1">
      <c r="E540" s="295"/>
      <c r="F540" s="295"/>
    </row>
    <row r="541" spans="5:6" ht="39" customHeight="1">
      <c r="E541" s="295"/>
      <c r="F541" s="295"/>
    </row>
    <row r="542" spans="5:6" ht="39" customHeight="1">
      <c r="E542" s="295"/>
      <c r="F542" s="295"/>
    </row>
    <row r="543" spans="5:6" ht="39" customHeight="1">
      <c r="E543" s="295"/>
      <c r="F543" s="295"/>
    </row>
    <row r="544" spans="5:6" ht="39" customHeight="1">
      <c r="E544" s="295"/>
      <c r="F544" s="295"/>
    </row>
    <row r="545" spans="5:6" ht="39" customHeight="1">
      <c r="E545" s="295"/>
      <c r="F545" s="295"/>
    </row>
    <row r="546" spans="5:6" ht="39" customHeight="1">
      <c r="E546" s="295"/>
      <c r="F546" s="295"/>
    </row>
    <row r="547" spans="5:6" ht="39" customHeight="1">
      <c r="E547" s="295"/>
      <c r="F547" s="295"/>
    </row>
    <row r="548" spans="5:6" ht="39" customHeight="1">
      <c r="E548" s="295"/>
      <c r="F548" s="295"/>
    </row>
    <row r="549" spans="5:6" ht="39" customHeight="1">
      <c r="E549" s="295"/>
      <c r="F549" s="295"/>
    </row>
    <row r="550" spans="5:6" ht="39" customHeight="1">
      <c r="E550" s="295"/>
      <c r="F550" s="295"/>
    </row>
    <row r="551" spans="5:6" ht="39" customHeight="1">
      <c r="E551" s="295"/>
      <c r="F551" s="295"/>
    </row>
    <row r="552" spans="5:6" ht="39" customHeight="1">
      <c r="E552" s="295"/>
      <c r="F552" s="295"/>
    </row>
    <row r="553" spans="5:6" ht="39" customHeight="1">
      <c r="E553" s="295"/>
      <c r="F553" s="295"/>
    </row>
    <row r="554" spans="5:6" ht="39" customHeight="1">
      <c r="E554" s="295"/>
      <c r="F554" s="295"/>
    </row>
    <row r="555" spans="5:6" ht="39" customHeight="1">
      <c r="E555" s="295"/>
      <c r="F555" s="295"/>
    </row>
    <row r="556" spans="5:6" ht="39" customHeight="1">
      <c r="E556" s="295"/>
      <c r="F556" s="295"/>
    </row>
    <row r="557" spans="5:6" ht="39" customHeight="1">
      <c r="E557" s="295"/>
      <c r="F557" s="295"/>
    </row>
    <row r="558" spans="5:6" ht="39" customHeight="1">
      <c r="E558" s="295"/>
      <c r="F558" s="295"/>
    </row>
    <row r="559" spans="5:6" ht="39" customHeight="1">
      <c r="E559" s="295"/>
      <c r="F559" s="295"/>
    </row>
    <row r="560" spans="5:6" ht="39" customHeight="1">
      <c r="E560" s="295"/>
      <c r="F560" s="295"/>
    </row>
    <row r="561" spans="5:6" ht="39" customHeight="1">
      <c r="E561" s="295"/>
      <c r="F561" s="295"/>
    </row>
    <row r="562" spans="5:6" ht="39" customHeight="1">
      <c r="E562" s="295"/>
      <c r="F562" s="295"/>
    </row>
    <row r="563" spans="5:6" ht="39" customHeight="1">
      <c r="E563" s="295"/>
      <c r="F563" s="295"/>
    </row>
    <row r="564" spans="5:6" ht="39" customHeight="1">
      <c r="E564" s="295"/>
      <c r="F564" s="295"/>
    </row>
    <row r="565" spans="5:6" ht="39" customHeight="1">
      <c r="E565" s="295"/>
      <c r="F565" s="295"/>
    </row>
    <row r="566" spans="5:6" ht="39" customHeight="1">
      <c r="E566" s="295"/>
      <c r="F566" s="295"/>
    </row>
    <row r="567" spans="5:6" ht="39" customHeight="1">
      <c r="E567" s="295"/>
      <c r="F567" s="295"/>
    </row>
    <row r="568" spans="5:6" ht="39" customHeight="1">
      <c r="E568" s="295"/>
      <c r="F568" s="295"/>
    </row>
    <row r="569" spans="5:6" ht="39" customHeight="1">
      <c r="E569" s="295"/>
      <c r="F569" s="295"/>
    </row>
    <row r="570" spans="5:6" ht="39" customHeight="1">
      <c r="E570" s="295"/>
      <c r="F570" s="295"/>
    </row>
    <row r="571" spans="5:6" ht="39" customHeight="1">
      <c r="E571" s="295"/>
      <c r="F571" s="295"/>
    </row>
    <row r="572" spans="5:6" ht="39" customHeight="1">
      <c r="E572" s="295"/>
      <c r="F572" s="295"/>
    </row>
    <row r="573" spans="5:6" ht="39" customHeight="1">
      <c r="E573" s="295"/>
      <c r="F573" s="295"/>
    </row>
    <row r="574" spans="5:6" ht="39" customHeight="1">
      <c r="E574" s="295"/>
      <c r="F574" s="295"/>
    </row>
    <row r="575" spans="5:6" ht="39" customHeight="1">
      <c r="E575" s="295"/>
      <c r="F575" s="295"/>
    </row>
    <row r="576" spans="5:6" ht="39" customHeight="1">
      <c r="E576" s="295"/>
      <c r="F576" s="295"/>
    </row>
    <row r="577" spans="5:6" ht="39" customHeight="1">
      <c r="E577" s="295"/>
      <c r="F577" s="295"/>
    </row>
    <row r="578" spans="5:6" ht="39" customHeight="1">
      <c r="E578" s="295"/>
      <c r="F578" s="295"/>
    </row>
    <row r="579" spans="5:6" ht="39" customHeight="1">
      <c r="E579" s="295"/>
      <c r="F579" s="295"/>
    </row>
    <row r="580" spans="5:6" ht="39" customHeight="1">
      <c r="E580" s="295"/>
      <c r="F580" s="295"/>
    </row>
    <row r="581" spans="5:6" ht="39" customHeight="1">
      <c r="E581" s="295"/>
      <c r="F581" s="295"/>
    </row>
    <row r="582" spans="5:6" ht="39" customHeight="1">
      <c r="E582" s="295"/>
      <c r="F582" s="295"/>
    </row>
    <row r="583" spans="5:6" ht="39" customHeight="1">
      <c r="E583" s="295"/>
      <c r="F583" s="295"/>
    </row>
    <row r="584" spans="5:6" ht="39" customHeight="1">
      <c r="E584" s="295"/>
      <c r="F584" s="295"/>
    </row>
    <row r="585" spans="5:6" ht="39" customHeight="1">
      <c r="E585" s="295"/>
      <c r="F585" s="295"/>
    </row>
    <row r="586" spans="5:6" ht="39" customHeight="1">
      <c r="E586" s="295"/>
      <c r="F586" s="295"/>
    </row>
    <row r="587" spans="5:6" ht="39" customHeight="1">
      <c r="E587" s="295"/>
      <c r="F587" s="295"/>
    </row>
    <row r="588" spans="5:6" ht="39" customHeight="1">
      <c r="E588" s="295"/>
      <c r="F588" s="295"/>
    </row>
    <row r="589" spans="5:6" ht="39" customHeight="1">
      <c r="E589" s="295"/>
      <c r="F589" s="295"/>
    </row>
    <row r="590" spans="5:6" ht="39" customHeight="1">
      <c r="E590" s="295"/>
      <c r="F590" s="295"/>
    </row>
    <row r="591" spans="5:6" ht="39" customHeight="1">
      <c r="E591" s="295"/>
      <c r="F591" s="295"/>
    </row>
    <row r="592" spans="5:6" ht="39" customHeight="1">
      <c r="E592" s="295"/>
      <c r="F592" s="295"/>
    </row>
    <row r="593" spans="5:6" ht="39" customHeight="1">
      <c r="E593" s="295"/>
      <c r="F593" s="295"/>
    </row>
    <row r="594" spans="5:6" ht="39" customHeight="1">
      <c r="E594" s="295"/>
      <c r="F594" s="295"/>
    </row>
    <row r="595" spans="5:6" ht="39" customHeight="1">
      <c r="E595" s="295"/>
      <c r="F595" s="295"/>
    </row>
    <row r="596" spans="5:6" ht="39" customHeight="1">
      <c r="E596" s="295"/>
      <c r="F596" s="295"/>
    </row>
    <row r="597" spans="5:6" ht="39" customHeight="1">
      <c r="E597" s="295"/>
      <c r="F597" s="295"/>
    </row>
    <row r="598" spans="5:6" ht="39" customHeight="1">
      <c r="E598" s="295"/>
      <c r="F598" s="295"/>
    </row>
    <row r="599" spans="5:6" ht="39" customHeight="1">
      <c r="E599" s="295"/>
      <c r="F599" s="295"/>
    </row>
    <row r="600" spans="5:6" ht="39" customHeight="1">
      <c r="E600" s="295"/>
      <c r="F600" s="295"/>
    </row>
    <row r="601" spans="5:6" ht="39" customHeight="1">
      <c r="E601" s="295"/>
      <c r="F601" s="295"/>
    </row>
    <row r="602" spans="5:6" ht="39" customHeight="1">
      <c r="E602" s="295"/>
      <c r="F602" s="295"/>
    </row>
    <row r="603" spans="5:6" ht="39" customHeight="1">
      <c r="E603" s="295"/>
      <c r="F603" s="295"/>
    </row>
    <row r="604" spans="5:6" ht="39" customHeight="1">
      <c r="E604" s="295"/>
      <c r="F604" s="295"/>
    </row>
    <row r="605" spans="5:6" ht="39" customHeight="1">
      <c r="E605" s="295"/>
      <c r="F605" s="295"/>
    </row>
    <row r="606" spans="5:6" ht="39" customHeight="1">
      <c r="E606" s="295"/>
      <c r="F606" s="295"/>
    </row>
    <row r="607" spans="5:6" ht="39" customHeight="1">
      <c r="E607" s="295"/>
      <c r="F607" s="295"/>
    </row>
    <row r="608" spans="5:6" ht="39" customHeight="1">
      <c r="E608" s="295"/>
      <c r="F608" s="295"/>
    </row>
    <row r="609" spans="5:6" ht="39" customHeight="1">
      <c r="E609" s="295"/>
      <c r="F609" s="295"/>
    </row>
    <row r="610" spans="5:6" ht="39" customHeight="1">
      <c r="E610" s="295"/>
      <c r="F610" s="295"/>
    </row>
    <row r="611" spans="5:6" ht="39" customHeight="1">
      <c r="E611" s="295"/>
      <c r="F611" s="295"/>
    </row>
    <row r="612" spans="5:6" ht="39" customHeight="1">
      <c r="E612" s="295"/>
      <c r="F612" s="295"/>
    </row>
    <row r="613" spans="5:6" ht="39" customHeight="1">
      <c r="E613" s="295"/>
      <c r="F613" s="295"/>
    </row>
    <row r="614" spans="5:6" ht="39" customHeight="1">
      <c r="E614" s="295"/>
      <c r="F614" s="295"/>
    </row>
    <row r="615" spans="5:6" ht="39" customHeight="1">
      <c r="E615" s="295"/>
      <c r="F615" s="295"/>
    </row>
    <row r="616" spans="5:6" ht="39" customHeight="1">
      <c r="E616" s="295"/>
      <c r="F616" s="295"/>
    </row>
    <row r="617" spans="5:6" ht="39" customHeight="1">
      <c r="E617" s="295"/>
      <c r="F617" s="295"/>
    </row>
    <row r="618" spans="5:6" ht="39" customHeight="1">
      <c r="E618" s="295"/>
      <c r="F618" s="295"/>
    </row>
    <row r="619" spans="5:6" ht="39" customHeight="1">
      <c r="E619" s="295"/>
      <c r="F619" s="295"/>
    </row>
    <row r="620" spans="5:6" ht="39" customHeight="1">
      <c r="E620" s="295"/>
      <c r="F620" s="295"/>
    </row>
    <row r="621" spans="5:6" ht="39" customHeight="1">
      <c r="E621" s="295"/>
      <c r="F621" s="295"/>
    </row>
    <row r="622" spans="5:6" ht="39" customHeight="1">
      <c r="E622" s="295"/>
      <c r="F622" s="295"/>
    </row>
    <row r="623" spans="5:6" ht="39" customHeight="1">
      <c r="E623" s="295"/>
      <c r="F623" s="295"/>
    </row>
    <row r="624" spans="5:6" ht="39" customHeight="1">
      <c r="E624" s="295"/>
      <c r="F624" s="295"/>
    </row>
    <row r="625" spans="5:6" ht="39" customHeight="1">
      <c r="E625" s="295"/>
      <c r="F625" s="295"/>
    </row>
    <row r="626" spans="5:6" ht="39" customHeight="1">
      <c r="E626" s="295"/>
      <c r="F626" s="295"/>
    </row>
    <row r="627" spans="5:6" ht="39" customHeight="1">
      <c r="E627" s="295"/>
      <c r="F627" s="295"/>
    </row>
    <row r="628" spans="5:6" ht="39" customHeight="1">
      <c r="E628" s="295"/>
      <c r="F628" s="295"/>
    </row>
    <row r="629" spans="5:6" ht="39" customHeight="1">
      <c r="E629" s="295"/>
      <c r="F629" s="295"/>
    </row>
    <row r="630" spans="5:6" ht="39" customHeight="1">
      <c r="E630" s="295"/>
      <c r="F630" s="295"/>
    </row>
    <row r="631" spans="5:6" ht="39" customHeight="1">
      <c r="E631" s="295"/>
      <c r="F631" s="295"/>
    </row>
    <row r="632" spans="5:6" ht="39" customHeight="1">
      <c r="E632" s="295"/>
      <c r="F632" s="295"/>
    </row>
    <row r="633" spans="5:6" ht="39" customHeight="1">
      <c r="E633" s="295"/>
      <c r="F633" s="295"/>
    </row>
    <row r="634" spans="5:6" ht="39" customHeight="1">
      <c r="E634" s="295"/>
      <c r="F634" s="295"/>
    </row>
    <row r="635" spans="5:6" ht="39" customHeight="1">
      <c r="E635" s="295"/>
      <c r="F635" s="295"/>
    </row>
    <row r="636" spans="5:6" ht="39" customHeight="1">
      <c r="E636" s="295"/>
      <c r="F636" s="295"/>
    </row>
    <row r="637" spans="5:6" ht="39" customHeight="1">
      <c r="E637" s="295"/>
      <c r="F637" s="295"/>
    </row>
    <row r="638" spans="5:6" ht="39" customHeight="1">
      <c r="E638" s="295"/>
      <c r="F638" s="295"/>
    </row>
    <row r="639" spans="5:6" ht="39" customHeight="1">
      <c r="E639" s="295"/>
      <c r="F639" s="295"/>
    </row>
    <row r="640" spans="5:6" ht="39" customHeight="1">
      <c r="E640" s="295"/>
      <c r="F640" s="295"/>
    </row>
    <row r="641" spans="5:6" ht="39" customHeight="1">
      <c r="E641" s="295"/>
      <c r="F641" s="295"/>
    </row>
    <row r="642" spans="5:6" ht="39" customHeight="1">
      <c r="E642" s="295"/>
      <c r="F642" s="295"/>
    </row>
    <row r="643" spans="5:6" ht="39" customHeight="1">
      <c r="E643" s="295"/>
      <c r="F643" s="295"/>
    </row>
    <row r="644" spans="5:6" ht="39" customHeight="1">
      <c r="E644" s="295"/>
      <c r="F644" s="295"/>
    </row>
    <row r="645" spans="5:6" ht="39" customHeight="1">
      <c r="E645" s="295"/>
      <c r="F645" s="295"/>
    </row>
    <row r="646" spans="5:6" ht="39" customHeight="1">
      <c r="E646" s="295"/>
      <c r="F646" s="295"/>
    </row>
    <row r="647" spans="5:6" ht="39" customHeight="1">
      <c r="E647" s="295"/>
      <c r="F647" s="295"/>
    </row>
    <row r="648" spans="5:6" ht="39" customHeight="1">
      <c r="E648" s="295"/>
      <c r="F648" s="295"/>
    </row>
    <row r="649" spans="5:6" ht="39" customHeight="1">
      <c r="E649" s="295"/>
      <c r="F649" s="295"/>
    </row>
    <row r="650" spans="5:6" ht="39" customHeight="1">
      <c r="E650" s="295"/>
      <c r="F650" s="295"/>
    </row>
    <row r="651" spans="5:6" ht="39" customHeight="1">
      <c r="E651" s="295"/>
      <c r="F651" s="295"/>
    </row>
    <row r="652" spans="5:6" ht="39" customHeight="1">
      <c r="E652" s="295"/>
      <c r="F652" s="295"/>
    </row>
    <row r="653" spans="5:6" ht="39" customHeight="1">
      <c r="E653" s="295"/>
      <c r="F653" s="295"/>
    </row>
    <row r="654" spans="5:6" ht="39" customHeight="1">
      <c r="E654" s="295"/>
      <c r="F654" s="295"/>
    </row>
    <row r="655" spans="5:6" ht="39" customHeight="1">
      <c r="E655" s="295"/>
      <c r="F655" s="295"/>
    </row>
    <row r="656" spans="5:6" ht="39" customHeight="1">
      <c r="E656" s="295"/>
      <c r="F656" s="295"/>
    </row>
    <row r="657" spans="5:6" ht="39" customHeight="1">
      <c r="E657" s="295"/>
      <c r="F657" s="295"/>
    </row>
    <row r="658" spans="5:6" ht="39" customHeight="1">
      <c r="E658" s="295"/>
      <c r="F658" s="295"/>
    </row>
    <row r="659" spans="5:6" ht="39" customHeight="1">
      <c r="E659" s="295"/>
      <c r="F659" s="295"/>
    </row>
    <row r="660" spans="5:6" ht="39" customHeight="1">
      <c r="E660" s="295"/>
      <c r="F660" s="295"/>
    </row>
    <row r="661" spans="5:6" ht="39" customHeight="1">
      <c r="E661" s="295"/>
      <c r="F661" s="295"/>
    </row>
    <row r="662" spans="5:6" ht="39" customHeight="1">
      <c r="E662" s="295"/>
      <c r="F662" s="295"/>
    </row>
    <row r="663" spans="5:6" ht="39" customHeight="1">
      <c r="E663" s="295"/>
      <c r="F663" s="295"/>
    </row>
    <row r="664" spans="5:6" ht="39" customHeight="1">
      <c r="E664" s="295"/>
      <c r="F664" s="295"/>
    </row>
    <row r="665" spans="5:6" ht="39" customHeight="1">
      <c r="E665" s="295"/>
      <c r="F665" s="295"/>
    </row>
    <row r="666" spans="5:6" ht="39" customHeight="1">
      <c r="E666" s="295"/>
      <c r="F666" s="295"/>
    </row>
    <row r="667" spans="5:6" ht="39" customHeight="1">
      <c r="E667" s="295"/>
      <c r="F667" s="295"/>
    </row>
    <row r="668" spans="5:6" ht="39" customHeight="1">
      <c r="E668" s="295"/>
      <c r="F668" s="295"/>
    </row>
    <row r="669" spans="5:6" ht="39" customHeight="1">
      <c r="E669" s="295"/>
      <c r="F669" s="295"/>
    </row>
    <row r="670" spans="5:6" ht="39" customHeight="1">
      <c r="E670" s="295"/>
      <c r="F670" s="295"/>
    </row>
    <row r="671" spans="5:6" ht="39" customHeight="1">
      <c r="E671" s="295"/>
      <c r="F671" s="295"/>
    </row>
    <row r="672" spans="5:6" ht="39" customHeight="1">
      <c r="E672" s="295"/>
      <c r="F672" s="295"/>
    </row>
    <row r="673" spans="5:6" ht="39" customHeight="1">
      <c r="E673" s="295"/>
      <c r="F673" s="295"/>
    </row>
    <row r="674" spans="5:6" ht="39" customHeight="1">
      <c r="E674" s="295"/>
      <c r="F674" s="295"/>
    </row>
    <row r="675" spans="5:6" ht="39" customHeight="1">
      <c r="E675" s="295"/>
      <c r="F675" s="295"/>
    </row>
    <row r="676" spans="5:6" ht="39" customHeight="1">
      <c r="E676" s="295"/>
      <c r="F676" s="295"/>
    </row>
    <row r="677" spans="5:6" ht="39" customHeight="1">
      <c r="E677" s="295"/>
      <c r="F677" s="295"/>
    </row>
    <row r="678" spans="5:6" ht="39" customHeight="1">
      <c r="E678" s="295"/>
      <c r="F678" s="295"/>
    </row>
    <row r="679" spans="5:6" ht="39" customHeight="1">
      <c r="E679" s="295"/>
      <c r="F679" s="295"/>
    </row>
    <row r="680" spans="5:6" ht="39" customHeight="1">
      <c r="E680" s="295"/>
      <c r="F680" s="295"/>
    </row>
    <row r="681" spans="5:6" ht="39" customHeight="1">
      <c r="E681" s="295"/>
      <c r="F681" s="295"/>
    </row>
    <row r="682" spans="5:6" ht="39" customHeight="1">
      <c r="E682" s="295"/>
      <c r="F682" s="295"/>
    </row>
    <row r="683" spans="5:6" ht="39" customHeight="1">
      <c r="E683" s="295"/>
      <c r="F683" s="295"/>
    </row>
    <row r="684" spans="5:6" ht="39" customHeight="1">
      <c r="E684" s="295"/>
      <c r="F684" s="295"/>
    </row>
    <row r="685" spans="5:6" ht="39" customHeight="1">
      <c r="E685" s="295"/>
      <c r="F685" s="295"/>
    </row>
    <row r="686" spans="5:6" ht="39" customHeight="1">
      <c r="E686" s="295"/>
      <c r="F686" s="295"/>
    </row>
    <row r="687" spans="5:6" ht="39" customHeight="1">
      <c r="E687" s="295"/>
      <c r="F687" s="295"/>
    </row>
    <row r="688" spans="5:6" ht="39" customHeight="1">
      <c r="E688" s="295"/>
      <c r="F688" s="295"/>
    </row>
    <row r="689" spans="5:6" ht="39" customHeight="1">
      <c r="E689" s="295"/>
      <c r="F689" s="295"/>
    </row>
    <row r="690" spans="5:6" ht="39" customHeight="1">
      <c r="E690" s="295"/>
      <c r="F690" s="295"/>
    </row>
    <row r="691" spans="5:6" ht="39" customHeight="1">
      <c r="E691" s="295"/>
      <c r="F691" s="295"/>
    </row>
    <row r="692" spans="5:6" ht="39" customHeight="1">
      <c r="E692" s="295"/>
      <c r="F692" s="295"/>
    </row>
    <row r="693" spans="5:6" ht="39" customHeight="1">
      <c r="E693" s="295"/>
      <c r="F693" s="295"/>
    </row>
    <row r="694" spans="5:6" ht="39" customHeight="1">
      <c r="E694" s="295"/>
      <c r="F694" s="295"/>
    </row>
    <row r="695" spans="5:6" ht="39" customHeight="1">
      <c r="E695" s="295"/>
      <c r="F695" s="295"/>
    </row>
    <row r="696" spans="5:6" ht="39" customHeight="1">
      <c r="E696" s="295"/>
      <c r="F696" s="295"/>
    </row>
    <row r="697" spans="5:6" ht="39" customHeight="1">
      <c r="E697" s="295"/>
      <c r="F697" s="295"/>
    </row>
    <row r="698" spans="5:6" ht="39" customHeight="1">
      <c r="E698" s="295"/>
      <c r="F698" s="295"/>
    </row>
    <row r="699" spans="5:6" ht="39" customHeight="1">
      <c r="E699" s="295"/>
      <c r="F699" s="295"/>
    </row>
    <row r="700" spans="5:6" ht="39" customHeight="1">
      <c r="E700" s="295"/>
      <c r="F700" s="295"/>
    </row>
    <row r="701" spans="5:6" ht="39" customHeight="1">
      <c r="E701" s="295"/>
      <c r="F701" s="295"/>
    </row>
    <row r="702" spans="5:6" ht="39" customHeight="1">
      <c r="E702" s="295"/>
      <c r="F702" s="295"/>
    </row>
    <row r="703" spans="5:6" ht="39" customHeight="1">
      <c r="E703" s="295"/>
      <c r="F703" s="295"/>
    </row>
    <row r="704" spans="5:6" ht="39" customHeight="1">
      <c r="E704" s="295"/>
      <c r="F704" s="295"/>
    </row>
    <row r="705" spans="5:6" ht="39" customHeight="1">
      <c r="E705" s="295"/>
      <c r="F705" s="295"/>
    </row>
    <row r="706" spans="5:6" ht="39" customHeight="1">
      <c r="E706" s="295"/>
      <c r="F706" s="295"/>
    </row>
    <row r="707" spans="5:6" ht="39" customHeight="1">
      <c r="E707" s="295"/>
      <c r="F707" s="295"/>
    </row>
    <row r="708" spans="5:6" ht="39" customHeight="1">
      <c r="E708" s="295"/>
      <c r="F708" s="295"/>
    </row>
    <row r="709" spans="5:6" ht="39" customHeight="1">
      <c r="E709" s="295"/>
      <c r="F709" s="295"/>
    </row>
    <row r="710" spans="5:6" ht="39" customHeight="1">
      <c r="E710" s="295"/>
      <c r="F710" s="295"/>
    </row>
    <row r="711" spans="5:6" ht="39" customHeight="1">
      <c r="E711" s="295"/>
      <c r="F711" s="295"/>
    </row>
    <row r="712" spans="5:6" ht="39" customHeight="1">
      <c r="E712" s="295"/>
      <c r="F712" s="295"/>
    </row>
    <row r="713" spans="5:6" ht="39" customHeight="1">
      <c r="E713" s="295"/>
      <c r="F713" s="295"/>
    </row>
    <row r="714" spans="5:6" ht="39" customHeight="1">
      <c r="E714" s="295"/>
      <c r="F714" s="295"/>
    </row>
    <row r="715" spans="5:6" ht="39" customHeight="1">
      <c r="E715" s="295"/>
      <c r="F715" s="295"/>
    </row>
    <row r="716" spans="5:6" ht="39" customHeight="1">
      <c r="E716" s="295"/>
      <c r="F716" s="295"/>
    </row>
    <row r="717" spans="5:6" ht="39" customHeight="1">
      <c r="E717" s="295"/>
      <c r="F717" s="295"/>
    </row>
    <row r="718" spans="5:6" ht="39" customHeight="1">
      <c r="E718" s="295"/>
      <c r="F718" s="295"/>
    </row>
    <row r="719" spans="5:6" ht="39" customHeight="1">
      <c r="E719" s="295"/>
      <c r="F719" s="295"/>
    </row>
    <row r="720" spans="5:6" ht="39" customHeight="1">
      <c r="E720" s="295"/>
      <c r="F720" s="295"/>
    </row>
    <row r="721" spans="5:6" ht="39" customHeight="1">
      <c r="E721" s="295"/>
      <c r="F721" s="295"/>
    </row>
    <row r="722" spans="5:6" ht="39" customHeight="1">
      <c r="E722" s="295"/>
      <c r="F722" s="295"/>
    </row>
    <row r="723" spans="5:6" ht="39" customHeight="1">
      <c r="E723" s="295"/>
      <c r="F723" s="295"/>
    </row>
    <row r="724" spans="5:6" ht="39" customHeight="1">
      <c r="E724" s="295"/>
      <c r="F724" s="295"/>
    </row>
    <row r="725" spans="5:6" ht="39" customHeight="1">
      <c r="E725" s="295"/>
      <c r="F725" s="295"/>
    </row>
    <row r="726" spans="5:6" ht="39" customHeight="1">
      <c r="E726" s="295"/>
      <c r="F726" s="295"/>
    </row>
    <row r="727" spans="5:6" ht="39" customHeight="1">
      <c r="E727" s="295"/>
      <c r="F727" s="295"/>
    </row>
    <row r="728" spans="5:6" ht="39" customHeight="1">
      <c r="E728" s="295"/>
      <c r="F728" s="295"/>
    </row>
    <row r="729" spans="5:6" ht="39" customHeight="1">
      <c r="E729" s="295"/>
      <c r="F729" s="295"/>
    </row>
    <row r="730" spans="5:6" ht="39" customHeight="1">
      <c r="E730" s="295"/>
      <c r="F730" s="295"/>
    </row>
    <row r="731" spans="5:6" ht="39" customHeight="1">
      <c r="E731" s="295"/>
      <c r="F731" s="295"/>
    </row>
    <row r="732" spans="5:6" ht="39" customHeight="1">
      <c r="E732" s="295"/>
      <c r="F732" s="295"/>
    </row>
    <row r="733" spans="5:6" ht="39" customHeight="1">
      <c r="E733" s="295"/>
      <c r="F733" s="295"/>
    </row>
    <row r="734" spans="5:6" ht="39" customHeight="1">
      <c r="E734" s="295"/>
      <c r="F734" s="295"/>
    </row>
    <row r="735" spans="5:6" ht="39" customHeight="1">
      <c r="E735" s="295"/>
      <c r="F735" s="295"/>
    </row>
    <row r="736" spans="5:6" ht="39" customHeight="1">
      <c r="E736" s="295"/>
      <c r="F736" s="295"/>
    </row>
    <row r="737" spans="5:6" ht="39" customHeight="1">
      <c r="E737" s="295"/>
      <c r="F737" s="295"/>
    </row>
    <row r="738" spans="5:6" ht="39" customHeight="1">
      <c r="E738" s="295"/>
      <c r="F738" s="295"/>
    </row>
    <row r="739" spans="5:6" ht="39" customHeight="1">
      <c r="E739" s="295"/>
      <c r="F739" s="295"/>
    </row>
    <row r="740" spans="5:6" ht="39" customHeight="1">
      <c r="E740" s="295"/>
      <c r="F740" s="295"/>
    </row>
    <row r="741" spans="5:6" ht="39" customHeight="1">
      <c r="E741" s="295"/>
      <c r="F741" s="295"/>
    </row>
    <row r="742" spans="5:6" ht="39" customHeight="1">
      <c r="E742" s="295"/>
      <c r="F742" s="295"/>
    </row>
    <row r="743" spans="5:6" ht="39" customHeight="1">
      <c r="E743" s="295"/>
      <c r="F743" s="295"/>
    </row>
    <row r="744" spans="5:6" ht="39" customHeight="1">
      <c r="E744" s="295"/>
      <c r="F744" s="295"/>
    </row>
    <row r="745" spans="5:6" ht="39" customHeight="1">
      <c r="E745" s="295"/>
      <c r="F745" s="295"/>
    </row>
    <row r="746" spans="5:6" ht="39" customHeight="1">
      <c r="E746" s="295"/>
      <c r="F746" s="295"/>
    </row>
    <row r="747" spans="5:6" ht="39" customHeight="1">
      <c r="E747" s="295"/>
      <c r="F747" s="295"/>
    </row>
    <row r="748" spans="5:6" ht="39" customHeight="1">
      <c r="E748" s="295"/>
      <c r="F748" s="295"/>
    </row>
    <row r="749" spans="5:6" ht="39" customHeight="1">
      <c r="E749" s="295"/>
      <c r="F749" s="295"/>
    </row>
    <row r="750" spans="5:6" ht="39" customHeight="1">
      <c r="E750" s="295"/>
      <c r="F750" s="295"/>
    </row>
    <row r="751" spans="5:6" ht="39" customHeight="1">
      <c r="E751" s="295"/>
      <c r="F751" s="295"/>
    </row>
    <row r="752" spans="5:6" ht="39" customHeight="1">
      <c r="E752" s="295"/>
      <c r="F752" s="295"/>
    </row>
    <row r="753" spans="5:6" ht="39" customHeight="1">
      <c r="E753" s="295"/>
      <c r="F753" s="295"/>
    </row>
    <row r="754" spans="5:6" ht="39" customHeight="1">
      <c r="E754" s="295"/>
      <c r="F754" s="295"/>
    </row>
    <row r="755" spans="5:6" ht="39" customHeight="1">
      <c r="E755" s="295"/>
      <c r="F755" s="295"/>
    </row>
    <row r="756" spans="5:6" ht="39" customHeight="1">
      <c r="E756" s="295"/>
      <c r="F756" s="295"/>
    </row>
    <row r="757" spans="5:6" ht="39" customHeight="1">
      <c r="E757" s="295"/>
      <c r="F757" s="295"/>
    </row>
    <row r="758" spans="5:6" ht="39" customHeight="1">
      <c r="E758" s="295"/>
      <c r="F758" s="295"/>
    </row>
    <row r="759" spans="5:6" ht="39" customHeight="1">
      <c r="E759" s="295"/>
      <c r="F759" s="295"/>
    </row>
    <row r="760" spans="5:6" ht="39" customHeight="1">
      <c r="E760" s="295"/>
      <c r="F760" s="295"/>
    </row>
    <row r="761" spans="5:6" ht="39" customHeight="1">
      <c r="E761" s="295"/>
      <c r="F761" s="295"/>
    </row>
    <row r="762" spans="5:6" ht="39" customHeight="1">
      <c r="E762" s="295"/>
      <c r="F762" s="295"/>
    </row>
    <row r="763" spans="5:6" ht="39" customHeight="1">
      <c r="E763" s="295"/>
      <c r="F763" s="295"/>
    </row>
    <row r="764" spans="5:6" ht="39" customHeight="1">
      <c r="E764" s="295"/>
      <c r="F764" s="295"/>
    </row>
    <row r="765" spans="5:6" ht="39" customHeight="1">
      <c r="E765" s="295"/>
      <c r="F765" s="295"/>
    </row>
    <row r="766" spans="5:6" ht="39" customHeight="1">
      <c r="E766" s="295"/>
      <c r="F766" s="295"/>
    </row>
    <row r="767" spans="5:6" ht="39" customHeight="1">
      <c r="E767" s="295"/>
      <c r="F767" s="295"/>
    </row>
    <row r="768" spans="5:6" ht="39" customHeight="1">
      <c r="E768" s="295"/>
      <c r="F768" s="295"/>
    </row>
    <row r="769" spans="5:6" ht="39" customHeight="1">
      <c r="E769" s="295"/>
      <c r="F769" s="295"/>
    </row>
    <row r="770" spans="5:6" ht="39" customHeight="1">
      <c r="E770" s="295"/>
      <c r="F770" s="295"/>
    </row>
    <row r="771" spans="5:6" ht="39" customHeight="1">
      <c r="E771" s="295"/>
      <c r="F771" s="295"/>
    </row>
    <row r="772" spans="5:6" ht="39" customHeight="1">
      <c r="E772" s="295"/>
      <c r="F772" s="295"/>
    </row>
    <row r="773" spans="5:6" ht="39" customHeight="1">
      <c r="E773" s="295"/>
      <c r="F773" s="295"/>
    </row>
    <row r="774" spans="5:6" ht="39" customHeight="1">
      <c r="E774" s="295"/>
      <c r="F774" s="295"/>
    </row>
    <row r="775" spans="5:6" ht="39" customHeight="1">
      <c r="E775" s="295"/>
      <c r="F775" s="295"/>
    </row>
    <row r="776" spans="5:6" ht="39" customHeight="1">
      <c r="E776" s="295"/>
      <c r="F776" s="295"/>
    </row>
    <row r="777" spans="5:6" ht="39" customHeight="1">
      <c r="E777" s="295"/>
      <c r="F777" s="295"/>
    </row>
    <row r="778" spans="5:6" ht="39" customHeight="1">
      <c r="E778" s="295"/>
      <c r="F778" s="295"/>
    </row>
    <row r="779" spans="5:6" ht="39" customHeight="1">
      <c r="E779" s="295"/>
      <c r="F779" s="295"/>
    </row>
    <row r="780" spans="5:6" ht="39" customHeight="1">
      <c r="E780" s="295"/>
      <c r="F780" s="295"/>
    </row>
    <row r="781" spans="5:6" ht="39" customHeight="1">
      <c r="E781" s="295"/>
      <c r="F781" s="295"/>
    </row>
    <row r="782" spans="5:6" ht="39" customHeight="1">
      <c r="E782" s="295"/>
      <c r="F782" s="295"/>
    </row>
    <row r="783" spans="5:6" ht="39" customHeight="1">
      <c r="E783" s="295"/>
      <c r="F783" s="295"/>
    </row>
    <row r="784" spans="5:6" ht="39" customHeight="1">
      <c r="E784" s="295"/>
      <c r="F784" s="295"/>
    </row>
    <row r="785" spans="5:6" ht="39" customHeight="1">
      <c r="E785" s="295"/>
      <c r="F785" s="295"/>
    </row>
    <row r="786" spans="5:6" ht="39" customHeight="1">
      <c r="E786" s="295"/>
      <c r="F786" s="295"/>
    </row>
    <row r="787" spans="5:6" ht="39" customHeight="1">
      <c r="E787" s="295"/>
      <c r="F787" s="295"/>
    </row>
    <row r="788" spans="5:6" ht="39" customHeight="1">
      <c r="E788" s="295"/>
      <c r="F788" s="295"/>
    </row>
    <row r="789" spans="5:6" ht="39" customHeight="1">
      <c r="E789" s="295"/>
      <c r="F789" s="295"/>
    </row>
    <row r="790" spans="5:6" ht="39" customHeight="1">
      <c r="E790" s="295"/>
      <c r="F790" s="295"/>
    </row>
    <row r="791" spans="5:6" ht="39" customHeight="1">
      <c r="E791" s="295"/>
      <c r="F791" s="295"/>
    </row>
    <row r="792" spans="5:6" ht="39" customHeight="1">
      <c r="E792" s="295"/>
      <c r="F792" s="295"/>
    </row>
    <row r="793" spans="5:6" ht="39" customHeight="1">
      <c r="E793" s="295"/>
      <c r="F793" s="295"/>
    </row>
    <row r="794" spans="5:6" ht="39" customHeight="1">
      <c r="E794" s="295"/>
      <c r="F794" s="295"/>
    </row>
    <row r="795" spans="5:6" ht="39" customHeight="1">
      <c r="E795" s="295"/>
      <c r="F795" s="295"/>
    </row>
    <row r="796" spans="5:6" ht="39" customHeight="1">
      <c r="E796" s="295"/>
      <c r="F796" s="295"/>
    </row>
    <row r="797" spans="5:6" ht="39" customHeight="1">
      <c r="E797" s="295"/>
      <c r="F797" s="295"/>
    </row>
    <row r="798" spans="5:6" ht="39" customHeight="1">
      <c r="E798" s="295"/>
      <c r="F798" s="295"/>
    </row>
    <row r="799" spans="5:6" ht="39" customHeight="1">
      <c r="E799" s="295"/>
      <c r="F799" s="295"/>
    </row>
    <row r="800" spans="5:6" ht="39" customHeight="1">
      <c r="E800" s="295"/>
      <c r="F800" s="295"/>
    </row>
    <row r="801" spans="5:6" ht="39" customHeight="1">
      <c r="E801" s="295"/>
      <c r="F801" s="295"/>
    </row>
    <row r="802" spans="5:6" ht="39" customHeight="1">
      <c r="E802" s="295"/>
      <c r="F802" s="295"/>
    </row>
    <row r="803" spans="5:6" ht="39" customHeight="1">
      <c r="E803" s="295"/>
      <c r="F803" s="295"/>
    </row>
    <row r="804" spans="5:6" ht="39" customHeight="1">
      <c r="E804" s="295"/>
      <c r="F804" s="295"/>
    </row>
    <row r="805" spans="5:6" ht="39" customHeight="1">
      <c r="E805" s="295"/>
      <c r="F805" s="295"/>
    </row>
    <row r="806" spans="5:6" ht="39" customHeight="1">
      <c r="E806" s="295"/>
      <c r="F806" s="295"/>
    </row>
    <row r="807" spans="5:6" ht="39" customHeight="1">
      <c r="E807" s="295"/>
      <c r="F807" s="295"/>
    </row>
    <row r="808" spans="5:6" ht="39" customHeight="1">
      <c r="E808" s="295"/>
      <c r="F808" s="295"/>
    </row>
    <row r="809" spans="5:6" ht="39" customHeight="1">
      <c r="E809" s="295"/>
      <c r="F809" s="295"/>
    </row>
    <row r="810" spans="5:6" ht="39" customHeight="1">
      <c r="E810" s="295"/>
      <c r="F810" s="295"/>
    </row>
    <row r="811" spans="5:6" ht="39" customHeight="1">
      <c r="E811" s="295"/>
      <c r="F811" s="295"/>
    </row>
    <row r="812" spans="5:6" ht="39" customHeight="1">
      <c r="E812" s="295"/>
      <c r="F812" s="295"/>
    </row>
    <row r="813" spans="5:6" ht="39" customHeight="1">
      <c r="E813" s="295"/>
      <c r="F813" s="295"/>
    </row>
    <row r="814" spans="5:6" ht="39" customHeight="1">
      <c r="E814" s="295"/>
      <c r="F814" s="295"/>
    </row>
    <row r="815" spans="5:6" ht="39" customHeight="1">
      <c r="E815" s="295"/>
      <c r="F815" s="295"/>
    </row>
    <row r="816" spans="5:6" ht="39" customHeight="1">
      <c r="E816" s="295"/>
      <c r="F816" s="295"/>
    </row>
    <row r="817" spans="5:6" ht="39" customHeight="1">
      <c r="E817" s="295"/>
      <c r="F817" s="295"/>
    </row>
    <row r="818" spans="5:6" ht="39" customHeight="1">
      <c r="E818" s="295"/>
      <c r="F818" s="295"/>
    </row>
    <row r="819" spans="5:6" ht="39" customHeight="1">
      <c r="E819" s="295"/>
      <c r="F819" s="295"/>
    </row>
    <row r="820" spans="5:6" ht="39" customHeight="1">
      <c r="E820" s="295"/>
      <c r="F820" s="295"/>
    </row>
    <row r="821" spans="5:6" ht="39" customHeight="1">
      <c r="E821" s="295"/>
      <c r="F821" s="295"/>
    </row>
    <row r="822" spans="5:6" ht="39" customHeight="1">
      <c r="E822" s="295"/>
      <c r="F822" s="295"/>
    </row>
    <row r="823" spans="5:6" ht="39" customHeight="1">
      <c r="E823" s="295"/>
      <c r="F823" s="295"/>
    </row>
    <row r="824" spans="5:6" ht="39" customHeight="1">
      <c r="E824" s="295"/>
      <c r="F824" s="295"/>
    </row>
    <row r="825" spans="5:6" ht="39" customHeight="1">
      <c r="E825" s="295"/>
      <c r="F825" s="295"/>
    </row>
    <row r="826" spans="5:6" ht="39" customHeight="1">
      <c r="E826" s="295"/>
      <c r="F826" s="295"/>
    </row>
    <row r="827" spans="5:6" ht="39" customHeight="1">
      <c r="E827" s="295"/>
      <c r="F827" s="295"/>
    </row>
    <row r="828" spans="5:6" ht="39" customHeight="1">
      <c r="E828" s="295"/>
      <c r="F828" s="295"/>
    </row>
    <row r="829" spans="5:6" ht="39" customHeight="1">
      <c r="E829" s="295"/>
      <c r="F829" s="295"/>
    </row>
    <row r="830" spans="5:6" ht="39" customHeight="1">
      <c r="E830" s="295"/>
      <c r="F830" s="295"/>
    </row>
    <row r="831" spans="5:6" ht="39" customHeight="1">
      <c r="E831" s="295"/>
      <c r="F831" s="295"/>
    </row>
    <row r="832" spans="5:6" ht="39" customHeight="1">
      <c r="E832" s="295"/>
      <c r="F832" s="295"/>
    </row>
    <row r="833" spans="5:6" ht="39" customHeight="1">
      <c r="E833" s="295"/>
      <c r="F833" s="295"/>
    </row>
    <row r="834" spans="5:6" ht="39" customHeight="1">
      <c r="E834" s="295"/>
      <c r="F834" s="295"/>
    </row>
    <row r="835" spans="5:6" ht="39" customHeight="1">
      <c r="E835" s="295"/>
      <c r="F835" s="295"/>
    </row>
    <row r="836" spans="5:6" ht="39" customHeight="1">
      <c r="E836" s="295"/>
      <c r="F836" s="295"/>
    </row>
    <row r="837" spans="5:6" ht="39" customHeight="1">
      <c r="E837" s="295"/>
      <c r="F837" s="295"/>
    </row>
    <row r="838" spans="5:6" ht="39" customHeight="1">
      <c r="E838" s="295"/>
      <c r="F838" s="295"/>
    </row>
    <row r="839" spans="5:6" ht="39" customHeight="1">
      <c r="E839" s="295"/>
      <c r="F839" s="295"/>
    </row>
    <row r="840" spans="5:6" ht="39" customHeight="1">
      <c r="E840" s="295"/>
      <c r="F840" s="295"/>
    </row>
    <row r="841" spans="5:6" ht="39" customHeight="1">
      <c r="E841" s="295"/>
      <c r="F841" s="295"/>
    </row>
    <row r="842" spans="5:6" ht="39" customHeight="1">
      <c r="E842" s="295"/>
      <c r="F842" s="295"/>
    </row>
    <row r="843" spans="5:6" ht="39" customHeight="1">
      <c r="E843" s="295"/>
      <c r="F843" s="295"/>
    </row>
    <row r="844" spans="5:6" ht="39" customHeight="1">
      <c r="E844" s="295"/>
      <c r="F844" s="295"/>
    </row>
    <row r="845" spans="5:6" ht="39" customHeight="1">
      <c r="E845" s="295"/>
      <c r="F845" s="295"/>
    </row>
    <row r="846" spans="5:6" ht="39" customHeight="1">
      <c r="E846" s="295"/>
      <c r="F846" s="295"/>
    </row>
    <row r="847" spans="5:6" ht="39" customHeight="1">
      <c r="E847" s="295"/>
      <c r="F847" s="295"/>
    </row>
    <row r="848" spans="5:6" ht="39" customHeight="1">
      <c r="E848" s="295"/>
      <c r="F848" s="295"/>
    </row>
    <row r="849" spans="5:6" ht="39" customHeight="1">
      <c r="E849" s="295"/>
      <c r="F849" s="295"/>
    </row>
    <row r="850" spans="5:6" ht="39" customHeight="1">
      <c r="E850" s="295"/>
      <c r="F850" s="295"/>
    </row>
    <row r="851" spans="5:6" ht="39" customHeight="1">
      <c r="E851" s="295"/>
      <c r="F851" s="295"/>
    </row>
    <row r="852" spans="5:6" ht="39" customHeight="1">
      <c r="E852" s="295"/>
      <c r="F852" s="295"/>
    </row>
    <row r="853" spans="5:6" ht="39" customHeight="1">
      <c r="E853" s="295"/>
      <c r="F853" s="295"/>
    </row>
    <row r="854" spans="5:6" ht="39" customHeight="1">
      <c r="E854" s="295"/>
      <c r="F854" s="295"/>
    </row>
    <row r="855" spans="5:6" ht="39" customHeight="1">
      <c r="E855" s="295"/>
      <c r="F855" s="295"/>
    </row>
    <row r="856" spans="5:6" ht="39" customHeight="1">
      <c r="E856" s="295"/>
      <c r="F856" s="295"/>
    </row>
    <row r="857" spans="5:6" ht="39" customHeight="1">
      <c r="E857" s="295"/>
      <c r="F857" s="295"/>
    </row>
    <row r="858" spans="5:6" ht="39" customHeight="1">
      <c r="E858" s="295"/>
      <c r="F858" s="295"/>
    </row>
    <row r="859" spans="5:6" ht="39" customHeight="1">
      <c r="E859" s="295"/>
      <c r="F859" s="295"/>
    </row>
    <row r="860" spans="5:6" ht="39" customHeight="1">
      <c r="E860" s="295"/>
      <c r="F860" s="295"/>
    </row>
    <row r="861" spans="5:6" ht="39" customHeight="1">
      <c r="E861" s="295"/>
      <c r="F861" s="295"/>
    </row>
    <row r="862" spans="5:6" ht="39" customHeight="1">
      <c r="E862" s="295"/>
      <c r="F862" s="295"/>
    </row>
    <row r="863" spans="5:6" ht="39" customHeight="1">
      <c r="E863" s="295"/>
      <c r="F863" s="295"/>
    </row>
    <row r="864" spans="5:6" ht="39" customHeight="1">
      <c r="E864" s="295"/>
      <c r="F864" s="295"/>
    </row>
    <row r="865" spans="5:6" ht="39" customHeight="1">
      <c r="E865" s="295"/>
      <c r="F865" s="295"/>
    </row>
    <row r="866" spans="5:6" ht="39" customHeight="1">
      <c r="E866" s="295"/>
      <c r="F866" s="295"/>
    </row>
    <row r="867" spans="5:6" ht="39" customHeight="1">
      <c r="E867" s="295"/>
      <c r="F867" s="295"/>
    </row>
    <row r="868" spans="5:6" ht="39" customHeight="1">
      <c r="E868" s="295"/>
      <c r="F868" s="295"/>
    </row>
    <row r="869" spans="5:6" ht="39" customHeight="1">
      <c r="E869" s="295"/>
      <c r="F869" s="295"/>
    </row>
    <row r="870" spans="5:6" ht="39" customHeight="1">
      <c r="E870" s="295"/>
      <c r="F870" s="295"/>
    </row>
    <row r="871" spans="5:6" ht="39" customHeight="1">
      <c r="E871" s="295"/>
      <c r="F871" s="295"/>
    </row>
    <row r="872" spans="5:6" ht="39" customHeight="1">
      <c r="E872" s="295"/>
      <c r="F872" s="295"/>
    </row>
    <row r="873" spans="5:6" ht="39" customHeight="1">
      <c r="E873" s="295"/>
      <c r="F873" s="295"/>
    </row>
    <row r="874" spans="5:6" ht="39" customHeight="1">
      <c r="E874" s="295"/>
      <c r="F874" s="295"/>
    </row>
    <row r="875" spans="5:6" ht="39" customHeight="1">
      <c r="E875" s="295"/>
      <c r="F875" s="295"/>
    </row>
    <row r="876" spans="5:6" ht="39" customHeight="1">
      <c r="E876" s="295"/>
      <c r="F876" s="295"/>
    </row>
    <row r="877" spans="5:6" ht="39" customHeight="1">
      <c r="E877" s="295"/>
      <c r="F877" s="295"/>
    </row>
    <row r="878" spans="5:6" ht="39" customHeight="1">
      <c r="E878" s="295"/>
      <c r="F878" s="295"/>
    </row>
    <row r="879" spans="5:6" ht="39" customHeight="1">
      <c r="E879" s="295"/>
      <c r="F879" s="295"/>
    </row>
    <row r="880" spans="5:6" ht="39" customHeight="1">
      <c r="E880" s="295"/>
      <c r="F880" s="295"/>
    </row>
    <row r="881" spans="5:6" ht="39" customHeight="1">
      <c r="E881" s="295"/>
      <c r="F881" s="295"/>
    </row>
    <row r="882" spans="5:6" ht="39" customHeight="1">
      <c r="E882" s="295"/>
      <c r="F882" s="295"/>
    </row>
    <row r="883" spans="5:6" ht="39" customHeight="1">
      <c r="E883" s="295"/>
      <c r="F883" s="295"/>
    </row>
    <row r="884" spans="5:6" ht="39" customHeight="1">
      <c r="E884" s="295"/>
      <c r="F884" s="295"/>
    </row>
    <row r="885" spans="5:6" ht="39" customHeight="1">
      <c r="E885" s="295"/>
      <c r="F885" s="295"/>
    </row>
    <row r="886" spans="5:6" ht="39" customHeight="1">
      <c r="E886" s="295"/>
      <c r="F886" s="295"/>
    </row>
    <row r="887" spans="5:6" ht="39" customHeight="1">
      <c r="E887" s="295"/>
      <c r="F887" s="295"/>
    </row>
    <row r="888" spans="5:6" ht="39" customHeight="1">
      <c r="E888" s="295"/>
      <c r="F888" s="295"/>
    </row>
    <row r="889" spans="5:6" ht="39" customHeight="1">
      <c r="E889" s="295"/>
      <c r="F889" s="295"/>
    </row>
    <row r="890" spans="5:6" ht="39" customHeight="1">
      <c r="E890" s="295"/>
      <c r="F890" s="295"/>
    </row>
    <row r="891" spans="5:6" ht="39" customHeight="1">
      <c r="E891" s="295"/>
      <c r="F891" s="295"/>
    </row>
    <row r="892" spans="5:6" ht="39" customHeight="1">
      <c r="E892" s="295"/>
      <c r="F892" s="295"/>
    </row>
    <row r="893" spans="5:6" ht="39" customHeight="1">
      <c r="E893" s="295"/>
      <c r="F893" s="295"/>
    </row>
    <row r="894" spans="5:6" ht="39" customHeight="1">
      <c r="E894" s="295"/>
      <c r="F894" s="295"/>
    </row>
    <row r="895" spans="5:6" ht="39" customHeight="1">
      <c r="E895" s="295"/>
      <c r="F895" s="295"/>
    </row>
    <row r="896" spans="5:6" ht="39" customHeight="1">
      <c r="E896" s="295"/>
      <c r="F896" s="295"/>
    </row>
    <row r="897" spans="5:6" ht="39" customHeight="1">
      <c r="E897" s="295"/>
      <c r="F897" s="295"/>
    </row>
    <row r="898" spans="5:6" ht="39" customHeight="1">
      <c r="E898" s="295"/>
      <c r="F898" s="295"/>
    </row>
    <row r="899" spans="5:6" ht="39" customHeight="1">
      <c r="E899" s="295"/>
      <c r="F899" s="295"/>
    </row>
    <row r="900" spans="5:6" ht="39" customHeight="1">
      <c r="E900" s="295"/>
      <c r="F900" s="295"/>
    </row>
    <row r="901" spans="5:6" ht="39" customHeight="1">
      <c r="E901" s="295"/>
      <c r="F901" s="295"/>
    </row>
    <row r="902" spans="5:6" ht="39" customHeight="1">
      <c r="E902" s="295"/>
      <c r="F902" s="295"/>
    </row>
    <row r="903" spans="5:6" ht="39" customHeight="1">
      <c r="E903" s="295"/>
      <c r="F903" s="295"/>
    </row>
    <row r="904" spans="5:6" ht="39" customHeight="1">
      <c r="E904" s="295"/>
      <c r="F904" s="295"/>
    </row>
    <row r="905" spans="5:6" ht="39" customHeight="1">
      <c r="E905" s="295"/>
      <c r="F905" s="295"/>
    </row>
    <row r="906" spans="5:6" ht="39" customHeight="1">
      <c r="E906" s="295"/>
      <c r="F906" s="295"/>
    </row>
    <row r="907" spans="5:6" ht="39" customHeight="1">
      <c r="E907" s="295"/>
      <c r="F907" s="295"/>
    </row>
    <row r="908" spans="5:6" ht="39" customHeight="1">
      <c r="E908" s="295"/>
      <c r="F908" s="295"/>
    </row>
    <row r="909" spans="5:6" ht="39" customHeight="1">
      <c r="E909" s="295"/>
      <c r="F909" s="295"/>
    </row>
    <row r="910" spans="5:6" ht="39" customHeight="1">
      <c r="E910" s="295"/>
      <c r="F910" s="295"/>
    </row>
    <row r="911" spans="5:6" ht="39" customHeight="1">
      <c r="E911" s="295"/>
      <c r="F911" s="295"/>
    </row>
    <row r="912" spans="5:6" ht="39" customHeight="1">
      <c r="E912" s="295"/>
      <c r="F912" s="295"/>
    </row>
    <row r="913" spans="5:6" ht="39" customHeight="1">
      <c r="E913" s="295"/>
      <c r="F913" s="295"/>
    </row>
    <row r="914" spans="5:6" ht="39" customHeight="1">
      <c r="E914" s="295"/>
      <c r="F914" s="295"/>
    </row>
    <row r="915" spans="5:6" ht="39" customHeight="1">
      <c r="E915" s="295"/>
      <c r="F915" s="295"/>
    </row>
    <row r="916" spans="5:6" ht="39" customHeight="1">
      <c r="E916" s="295"/>
      <c r="F916" s="295"/>
    </row>
    <row r="917" spans="5:6" ht="39" customHeight="1">
      <c r="E917" s="295"/>
      <c r="F917" s="295"/>
    </row>
    <row r="918" spans="5:6" ht="39" customHeight="1">
      <c r="E918" s="295"/>
      <c r="F918" s="295"/>
    </row>
    <row r="919" spans="5:6" ht="39" customHeight="1">
      <c r="E919" s="295"/>
      <c r="F919" s="295"/>
    </row>
    <row r="920" spans="5:6" ht="39" customHeight="1">
      <c r="E920" s="295"/>
      <c r="F920" s="295"/>
    </row>
    <row r="921" spans="5:6" ht="39" customHeight="1">
      <c r="E921" s="295"/>
      <c r="F921" s="295"/>
    </row>
    <row r="922" spans="5:6" ht="39" customHeight="1">
      <c r="E922" s="295"/>
      <c r="F922" s="295"/>
    </row>
    <row r="923" spans="5:6" ht="39" customHeight="1">
      <c r="E923" s="295"/>
      <c r="F923" s="295"/>
    </row>
    <row r="924" spans="5:6" ht="39" customHeight="1">
      <c r="E924" s="295"/>
      <c r="F924" s="295"/>
    </row>
    <row r="925" spans="5:6" ht="39" customHeight="1">
      <c r="E925" s="295"/>
      <c r="F925" s="295"/>
    </row>
    <row r="926" spans="5:6" ht="39" customHeight="1">
      <c r="E926" s="295"/>
      <c r="F926" s="295"/>
    </row>
    <row r="927" spans="5:6" ht="39" customHeight="1">
      <c r="E927" s="295"/>
      <c r="F927" s="295"/>
    </row>
    <row r="928" spans="5:6" ht="39" customHeight="1">
      <c r="E928" s="295"/>
      <c r="F928" s="295"/>
    </row>
    <row r="929" spans="5:6" ht="39" customHeight="1">
      <c r="E929" s="295"/>
      <c r="F929" s="295"/>
    </row>
    <row r="930" spans="5:6" ht="39" customHeight="1">
      <c r="E930" s="295"/>
      <c r="F930" s="295"/>
    </row>
    <row r="931" spans="5:6" ht="39" customHeight="1">
      <c r="E931" s="295"/>
      <c r="F931" s="295"/>
    </row>
    <row r="932" spans="5:6" ht="39" customHeight="1">
      <c r="E932" s="295"/>
      <c r="F932" s="295"/>
    </row>
    <row r="933" spans="5:6" ht="39" customHeight="1">
      <c r="E933" s="295"/>
      <c r="F933" s="295"/>
    </row>
    <row r="934" spans="5:6" ht="39" customHeight="1">
      <c r="E934" s="295"/>
      <c r="F934" s="295"/>
    </row>
    <row r="935" spans="5:6" ht="39" customHeight="1">
      <c r="E935" s="295"/>
      <c r="F935" s="295"/>
    </row>
    <row r="936" spans="5:6" ht="39" customHeight="1">
      <c r="E936" s="295"/>
      <c r="F936" s="295"/>
    </row>
    <row r="937" spans="5:6" ht="39" customHeight="1">
      <c r="E937" s="295"/>
      <c r="F937" s="295"/>
    </row>
    <row r="938" spans="5:6" ht="39" customHeight="1">
      <c r="E938" s="295"/>
      <c r="F938" s="295"/>
    </row>
    <row r="939" spans="5:6" ht="39" customHeight="1">
      <c r="E939" s="295"/>
      <c r="F939" s="295"/>
    </row>
    <row r="940" spans="5:6" ht="39" customHeight="1">
      <c r="E940" s="295"/>
      <c r="F940" s="295"/>
    </row>
    <row r="941" spans="5:6" ht="39" customHeight="1">
      <c r="E941" s="295"/>
      <c r="F941" s="295"/>
    </row>
    <row r="942" spans="5:6" ht="39" customHeight="1">
      <c r="E942" s="295"/>
      <c r="F942" s="295"/>
    </row>
    <row r="943" spans="5:6" ht="39" customHeight="1">
      <c r="E943" s="295"/>
      <c r="F943" s="295"/>
    </row>
    <row r="944" spans="5:6" ht="39" customHeight="1">
      <c r="E944" s="295"/>
      <c r="F944" s="295"/>
    </row>
    <row r="945" spans="5:6" ht="39" customHeight="1">
      <c r="E945" s="295"/>
      <c r="F945" s="295"/>
    </row>
    <row r="946" spans="5:6" ht="39" customHeight="1">
      <c r="E946" s="295"/>
      <c r="F946" s="295"/>
    </row>
    <row r="947" spans="5:6" ht="39" customHeight="1">
      <c r="E947" s="295"/>
      <c r="F947" s="295"/>
    </row>
    <row r="948" spans="5:6" ht="39" customHeight="1">
      <c r="E948" s="295"/>
      <c r="F948" s="295"/>
    </row>
    <row r="949" spans="5:6" ht="39" customHeight="1">
      <c r="E949" s="295"/>
      <c r="F949" s="295"/>
    </row>
    <row r="950" spans="5:6" ht="39" customHeight="1">
      <c r="E950" s="295"/>
      <c r="F950" s="295"/>
    </row>
    <row r="951" spans="5:6" ht="39" customHeight="1">
      <c r="E951" s="295"/>
      <c r="F951" s="295"/>
    </row>
    <row r="952" spans="5:6" ht="39" customHeight="1">
      <c r="E952" s="295"/>
      <c r="F952" s="295"/>
    </row>
    <row r="953" spans="5:6" ht="39" customHeight="1">
      <c r="E953" s="295"/>
      <c r="F953" s="295"/>
    </row>
    <row r="954" spans="5:6" ht="39" customHeight="1">
      <c r="E954" s="295"/>
      <c r="F954" s="295"/>
    </row>
    <row r="955" spans="5:6" ht="39" customHeight="1">
      <c r="E955" s="295"/>
      <c r="F955" s="295"/>
    </row>
    <row r="956" spans="5:6" ht="39" customHeight="1">
      <c r="E956" s="295"/>
      <c r="F956" s="295"/>
    </row>
    <row r="957" spans="5:6" ht="39" customHeight="1">
      <c r="E957" s="295"/>
      <c r="F957" s="295"/>
    </row>
    <row r="958" spans="5:6" ht="39" customHeight="1">
      <c r="E958" s="295"/>
      <c r="F958" s="295"/>
    </row>
    <row r="959" spans="5:6" ht="39" customHeight="1">
      <c r="E959" s="295"/>
      <c r="F959" s="295"/>
    </row>
    <row r="960" spans="5:6" ht="39" customHeight="1">
      <c r="E960" s="295"/>
      <c r="F960" s="295"/>
    </row>
    <row r="961" spans="5:6" ht="39" customHeight="1">
      <c r="E961" s="295"/>
      <c r="F961" s="295"/>
    </row>
    <row r="962" spans="5:6" ht="39" customHeight="1">
      <c r="E962" s="295"/>
      <c r="F962" s="295"/>
    </row>
    <row r="963" spans="5:6" ht="39" customHeight="1">
      <c r="E963" s="295"/>
      <c r="F963" s="295"/>
    </row>
    <row r="964" spans="5:6" ht="39" customHeight="1">
      <c r="E964" s="295"/>
      <c r="F964" s="295"/>
    </row>
    <row r="965" spans="5:6" ht="39" customHeight="1">
      <c r="E965" s="295"/>
      <c r="F965" s="295"/>
    </row>
    <row r="966" spans="5:6" ht="39" customHeight="1">
      <c r="E966" s="295"/>
      <c r="F966" s="295"/>
    </row>
    <row r="967" spans="5:6" ht="39" customHeight="1">
      <c r="E967" s="295"/>
      <c r="F967" s="295"/>
    </row>
    <row r="968" spans="5:6" ht="39" customHeight="1">
      <c r="E968" s="295"/>
      <c r="F968" s="295"/>
    </row>
    <row r="969" spans="5:6" ht="39" customHeight="1">
      <c r="E969" s="295"/>
      <c r="F969" s="295"/>
    </row>
    <row r="970" spans="5:6" ht="39" customHeight="1">
      <c r="E970" s="295"/>
      <c r="F970" s="295"/>
    </row>
    <row r="971" spans="5:6" ht="39" customHeight="1">
      <c r="E971" s="295"/>
      <c r="F971" s="295"/>
    </row>
    <row r="972" spans="5:6" ht="39" customHeight="1">
      <c r="E972" s="295"/>
      <c r="F972" s="295"/>
    </row>
    <row r="973" spans="5:6" ht="39" customHeight="1">
      <c r="E973" s="295"/>
      <c r="F973" s="295"/>
    </row>
    <row r="974" spans="5:6" ht="39" customHeight="1">
      <c r="E974" s="295"/>
      <c r="F974" s="295"/>
    </row>
    <row r="975" spans="5:6" ht="39" customHeight="1">
      <c r="E975" s="295"/>
      <c r="F975" s="295"/>
    </row>
    <row r="976" spans="5:6" ht="39" customHeight="1">
      <c r="E976" s="295"/>
      <c r="F976" s="295"/>
    </row>
    <row r="977" spans="5:6" ht="39" customHeight="1">
      <c r="E977" s="295"/>
      <c r="F977" s="295"/>
    </row>
    <row r="978" spans="5:6" ht="39" customHeight="1">
      <c r="E978" s="295"/>
      <c r="F978" s="295"/>
    </row>
    <row r="979" spans="5:6" ht="39" customHeight="1">
      <c r="E979" s="295"/>
      <c r="F979" s="295"/>
    </row>
    <row r="980" spans="5:6" ht="39" customHeight="1">
      <c r="E980" s="295"/>
      <c r="F980" s="295"/>
    </row>
    <row r="981" spans="5:6" ht="39" customHeight="1">
      <c r="E981" s="295"/>
      <c r="F981" s="295"/>
    </row>
    <row r="982" spans="5:6" ht="39" customHeight="1">
      <c r="E982" s="295"/>
      <c r="F982" s="295"/>
    </row>
    <row r="983" spans="5:6" ht="39" customHeight="1">
      <c r="E983" s="295"/>
      <c r="F983" s="295"/>
    </row>
    <row r="984" spans="5:6" ht="39" customHeight="1">
      <c r="E984" s="295"/>
      <c r="F984" s="295"/>
    </row>
    <row r="985" spans="5:6" ht="39" customHeight="1">
      <c r="E985" s="295"/>
      <c r="F985" s="295"/>
    </row>
    <row r="986" spans="5:6" ht="39" customHeight="1">
      <c r="E986" s="295"/>
      <c r="F986" s="295"/>
    </row>
    <row r="987" spans="5:6" ht="39" customHeight="1">
      <c r="E987" s="295"/>
      <c r="F987" s="295"/>
    </row>
    <row r="988" spans="5:6" ht="39" customHeight="1">
      <c r="E988" s="295"/>
      <c r="F988" s="295"/>
    </row>
    <row r="989" spans="5:6" ht="39" customHeight="1">
      <c r="E989" s="295"/>
      <c r="F989" s="295"/>
    </row>
    <row r="990" spans="5:6" ht="39" customHeight="1">
      <c r="E990" s="295"/>
      <c r="F990" s="295"/>
    </row>
    <row r="991" spans="5:6" ht="39" customHeight="1">
      <c r="E991" s="295"/>
      <c r="F991" s="295"/>
    </row>
    <row r="992" spans="5:6" ht="39" customHeight="1">
      <c r="E992" s="295"/>
      <c r="F992" s="295"/>
    </row>
    <row r="993" spans="5:6" ht="39" customHeight="1">
      <c r="E993" s="295"/>
      <c r="F993" s="295"/>
    </row>
    <row r="994" spans="5:6" ht="39" customHeight="1">
      <c r="E994" s="295"/>
      <c r="F994" s="295"/>
    </row>
    <row r="995" spans="5:6" ht="39" customHeight="1">
      <c r="E995" s="295"/>
      <c r="F995" s="295"/>
    </row>
    <row r="996" spans="5:6" ht="39" customHeight="1">
      <c r="E996" s="295"/>
      <c r="F996" s="295"/>
    </row>
    <row r="997" spans="5:6" ht="39" customHeight="1">
      <c r="E997" s="295"/>
      <c r="F997" s="295"/>
    </row>
    <row r="998" spans="5:6" ht="39" customHeight="1">
      <c r="E998" s="295"/>
      <c r="F998" s="295"/>
    </row>
    <row r="999" spans="5:6" ht="39" customHeight="1">
      <c r="E999" s="295"/>
      <c r="F999" s="295"/>
    </row>
    <row r="1000" spans="5:6" ht="39" customHeight="1">
      <c r="E1000" s="295"/>
      <c r="F1000" s="295"/>
    </row>
    <row r="1001" spans="5:6" ht="39" customHeight="1">
      <c r="E1001" s="295"/>
      <c r="F1001" s="295"/>
    </row>
    <row r="1002" spans="5:6" ht="39" customHeight="1">
      <c r="E1002" s="295"/>
      <c r="F1002" s="295"/>
    </row>
    <row r="1003" spans="5:6" ht="39" customHeight="1">
      <c r="E1003" s="295"/>
      <c r="F1003" s="295"/>
    </row>
    <row r="1004" spans="5:6" ht="39" customHeight="1">
      <c r="E1004" s="295"/>
      <c r="F1004" s="295"/>
    </row>
    <row r="1005" spans="5:6" ht="39" customHeight="1">
      <c r="E1005" s="295"/>
      <c r="F1005" s="295"/>
    </row>
    <row r="1006" spans="5:6" ht="39" customHeight="1">
      <c r="E1006" s="295"/>
      <c r="F1006" s="295"/>
    </row>
    <row r="1007" spans="5:6" ht="39" customHeight="1">
      <c r="E1007" s="295"/>
      <c r="F1007" s="295"/>
    </row>
    <row r="1008" spans="5:6" ht="39" customHeight="1">
      <c r="E1008" s="295"/>
      <c r="F1008" s="295"/>
    </row>
    <row r="1009" spans="5:6" ht="39" customHeight="1">
      <c r="E1009" s="295"/>
      <c r="F1009" s="295"/>
    </row>
    <row r="1010" spans="5:6" ht="39" customHeight="1">
      <c r="E1010" s="295"/>
      <c r="F1010" s="295"/>
    </row>
    <row r="1011" spans="5:6" ht="39" customHeight="1">
      <c r="E1011" s="295"/>
      <c r="F1011" s="295"/>
    </row>
    <row r="1012" spans="5:6" ht="39" customHeight="1">
      <c r="E1012" s="295"/>
      <c r="F1012" s="295"/>
    </row>
    <row r="1013" spans="5:6" ht="39" customHeight="1">
      <c r="E1013" s="295"/>
      <c r="F1013" s="295"/>
    </row>
    <row r="1014" spans="5:6" ht="39" customHeight="1">
      <c r="E1014" s="295"/>
      <c r="F1014" s="295"/>
    </row>
    <row r="1015" spans="5:6" ht="39" customHeight="1">
      <c r="E1015" s="295"/>
      <c r="F1015" s="295"/>
    </row>
    <row r="1016" spans="5:6" ht="39" customHeight="1">
      <c r="E1016" s="295"/>
      <c r="F1016" s="295"/>
    </row>
    <row r="1017" spans="5:6" ht="39" customHeight="1">
      <c r="E1017" s="295"/>
      <c r="F1017" s="295"/>
    </row>
    <row r="1018" spans="5:6" ht="39" customHeight="1">
      <c r="E1018" s="295"/>
      <c r="F1018" s="295"/>
    </row>
    <row r="1019" spans="5:6" ht="39" customHeight="1">
      <c r="E1019" s="295"/>
      <c r="F1019" s="295"/>
    </row>
    <row r="1020" spans="5:6" ht="39" customHeight="1">
      <c r="E1020" s="295"/>
      <c r="F1020" s="295"/>
    </row>
    <row r="1021" spans="5:6" ht="39" customHeight="1">
      <c r="E1021" s="295"/>
      <c r="F1021" s="295"/>
    </row>
    <row r="1022" spans="5:6" ht="39" customHeight="1">
      <c r="E1022" s="295"/>
      <c r="F1022" s="295"/>
    </row>
    <row r="1023" spans="5:6" ht="39" customHeight="1">
      <c r="E1023" s="295"/>
      <c r="F1023" s="295"/>
    </row>
    <row r="1024" spans="5:6" ht="39" customHeight="1">
      <c r="E1024" s="295"/>
      <c r="F1024" s="295"/>
    </row>
    <row r="1025" spans="5:6" ht="39" customHeight="1">
      <c r="E1025" s="295"/>
      <c r="F1025" s="295"/>
    </row>
    <row r="1026" spans="5:6" ht="39" customHeight="1">
      <c r="E1026" s="295"/>
      <c r="F1026" s="295"/>
    </row>
    <row r="1027" spans="5:6" ht="39" customHeight="1">
      <c r="E1027" s="295"/>
      <c r="F1027" s="295"/>
    </row>
    <row r="1028" spans="5:6" ht="39" customHeight="1">
      <c r="E1028" s="295"/>
      <c r="F1028" s="295"/>
    </row>
    <row r="1029" spans="5:6" ht="39" customHeight="1">
      <c r="E1029" s="295"/>
      <c r="F1029" s="295"/>
    </row>
    <row r="1030" spans="5:6" ht="39" customHeight="1">
      <c r="E1030" s="295"/>
      <c r="F1030" s="295"/>
    </row>
    <row r="1031" spans="5:6" ht="39" customHeight="1">
      <c r="E1031" s="295"/>
      <c r="F1031" s="295"/>
    </row>
    <row r="1032" spans="5:6" ht="39" customHeight="1">
      <c r="E1032" s="295"/>
      <c r="F1032" s="295"/>
    </row>
    <row r="1033" spans="5:6" ht="39" customHeight="1">
      <c r="E1033" s="295"/>
      <c r="F1033" s="295"/>
    </row>
    <row r="1034" spans="5:6" ht="39" customHeight="1">
      <c r="E1034" s="295"/>
      <c r="F1034" s="295"/>
    </row>
    <row r="1035" spans="5:6" ht="39" customHeight="1">
      <c r="E1035" s="295"/>
      <c r="F1035" s="295"/>
    </row>
    <row r="1036" spans="5:6" ht="39" customHeight="1">
      <c r="E1036" s="295"/>
      <c r="F1036" s="295"/>
    </row>
    <row r="1037" spans="5:6" ht="39" customHeight="1">
      <c r="E1037" s="295"/>
      <c r="F1037" s="295"/>
    </row>
    <row r="1038" spans="5:6" ht="39" customHeight="1">
      <c r="E1038" s="295"/>
      <c r="F1038" s="295"/>
    </row>
    <row r="1039" spans="5:6" ht="39" customHeight="1">
      <c r="E1039" s="295"/>
      <c r="F1039" s="295"/>
    </row>
    <row r="1040" spans="5:6" ht="39" customHeight="1">
      <c r="E1040" s="295"/>
      <c r="F1040" s="295"/>
    </row>
    <row r="1041" spans="5:6" ht="39" customHeight="1">
      <c r="E1041" s="295"/>
      <c r="F1041" s="295"/>
    </row>
    <row r="1042" spans="5:6" ht="39" customHeight="1">
      <c r="E1042" s="295"/>
      <c r="F1042" s="295"/>
    </row>
    <row r="1043" spans="5:6" ht="39" customHeight="1">
      <c r="E1043" s="295"/>
      <c r="F1043" s="295"/>
    </row>
    <row r="1044" spans="5:6" ht="39" customHeight="1">
      <c r="E1044" s="295"/>
      <c r="F1044" s="295"/>
    </row>
    <row r="1045" spans="5:6" ht="39" customHeight="1">
      <c r="E1045" s="295"/>
      <c r="F1045" s="295"/>
    </row>
    <row r="1046" spans="5:6" ht="39" customHeight="1">
      <c r="E1046" s="295"/>
      <c r="F1046" s="295"/>
    </row>
    <row r="1047" spans="5:6" ht="39" customHeight="1">
      <c r="E1047" s="295"/>
      <c r="F1047" s="295"/>
    </row>
    <row r="1048" spans="5:6" ht="39" customHeight="1">
      <c r="E1048" s="295"/>
      <c r="F1048" s="295"/>
    </row>
    <row r="1049" spans="5:6" ht="39" customHeight="1">
      <c r="E1049" s="295"/>
      <c r="F1049" s="295"/>
    </row>
    <row r="1050" spans="5:6" ht="39" customHeight="1">
      <c r="E1050" s="295"/>
      <c r="F1050" s="295"/>
    </row>
    <row r="1051" spans="5:6" ht="39" customHeight="1">
      <c r="E1051" s="295"/>
      <c r="F1051" s="295"/>
    </row>
    <row r="1052" spans="5:6" ht="39" customHeight="1">
      <c r="E1052" s="295"/>
      <c r="F1052" s="295"/>
    </row>
    <row r="1053" spans="5:6" ht="39" customHeight="1">
      <c r="E1053" s="295"/>
      <c r="F1053" s="295"/>
    </row>
    <row r="1054" spans="5:6" ht="39" customHeight="1">
      <c r="E1054" s="295"/>
      <c r="F1054" s="295"/>
    </row>
    <row r="1055" spans="5:6" ht="39" customHeight="1">
      <c r="E1055" s="295"/>
      <c r="F1055" s="295"/>
    </row>
    <row r="1056" spans="5:6" ht="39" customHeight="1">
      <c r="E1056" s="295"/>
      <c r="F1056" s="295"/>
    </row>
    <row r="1057" spans="5:6" ht="39" customHeight="1">
      <c r="E1057" s="295"/>
      <c r="F1057" s="295"/>
    </row>
    <row r="1058" spans="5:6" ht="39" customHeight="1">
      <c r="E1058" s="295"/>
      <c r="F1058" s="295"/>
    </row>
    <row r="1059" spans="5:6" ht="39" customHeight="1">
      <c r="E1059" s="295"/>
      <c r="F1059" s="295"/>
    </row>
    <row r="1060" spans="5:6" ht="39" customHeight="1">
      <c r="E1060" s="295"/>
      <c r="F1060" s="295"/>
    </row>
    <row r="1061" spans="5:6" ht="39" customHeight="1">
      <c r="E1061" s="295"/>
      <c r="F1061" s="295"/>
    </row>
    <row r="1062" spans="5:6" ht="39" customHeight="1">
      <c r="E1062" s="295"/>
      <c r="F1062" s="295"/>
    </row>
    <row r="1063" spans="5:6" ht="39" customHeight="1">
      <c r="E1063" s="295"/>
      <c r="F1063" s="295"/>
    </row>
    <row r="1064" spans="5:6" ht="39" customHeight="1">
      <c r="E1064" s="295"/>
      <c r="F1064" s="295"/>
    </row>
    <row r="1065" spans="5:6" ht="39" customHeight="1">
      <c r="E1065" s="295"/>
      <c r="F1065" s="295"/>
    </row>
    <row r="1066" spans="5:6" ht="39" customHeight="1">
      <c r="E1066" s="295"/>
      <c r="F1066" s="295"/>
    </row>
    <row r="1067" spans="5:6" ht="39" customHeight="1">
      <c r="E1067" s="295"/>
      <c r="F1067" s="295"/>
    </row>
    <row r="1068" spans="5:6" ht="39" customHeight="1">
      <c r="E1068" s="295"/>
      <c r="F1068" s="295"/>
    </row>
    <row r="1069" spans="5:6" ht="39" customHeight="1">
      <c r="E1069" s="295"/>
      <c r="F1069" s="295"/>
    </row>
    <row r="1070" spans="5:6" ht="39" customHeight="1">
      <c r="E1070" s="295"/>
      <c r="F1070" s="295"/>
    </row>
    <row r="1071" spans="5:6" ht="39" customHeight="1">
      <c r="E1071" s="295"/>
      <c r="F1071" s="295"/>
    </row>
    <row r="1072" spans="5:6" ht="39" customHeight="1">
      <c r="E1072" s="295"/>
      <c r="F1072" s="295"/>
    </row>
    <row r="1073" spans="5:6" ht="39" customHeight="1">
      <c r="E1073" s="295"/>
      <c r="F1073" s="295"/>
    </row>
    <row r="1074" spans="5:6" ht="39" customHeight="1">
      <c r="E1074" s="295"/>
      <c r="F1074" s="295"/>
    </row>
    <row r="1075" spans="5:6" ht="39" customHeight="1">
      <c r="E1075" s="295"/>
      <c r="F1075" s="295"/>
    </row>
    <row r="1076" spans="5:6" ht="39" customHeight="1">
      <c r="E1076" s="295"/>
      <c r="F1076" s="295"/>
    </row>
    <row r="1077" spans="5:6" ht="39" customHeight="1">
      <c r="E1077" s="295"/>
      <c r="F1077" s="295"/>
    </row>
    <row r="1078" spans="5:6" ht="39" customHeight="1">
      <c r="E1078" s="295"/>
      <c r="F1078" s="295"/>
    </row>
    <row r="1079" spans="5:6" ht="39" customHeight="1">
      <c r="E1079" s="295"/>
      <c r="F1079" s="295"/>
    </row>
    <row r="1080" spans="5:6" ht="39" customHeight="1">
      <c r="E1080" s="295"/>
      <c r="F1080" s="295"/>
    </row>
    <row r="1081" spans="5:6" ht="39" customHeight="1">
      <c r="E1081" s="295"/>
      <c r="F1081" s="295"/>
    </row>
    <row r="1082" spans="5:6" ht="39" customHeight="1">
      <c r="E1082" s="295"/>
      <c r="F1082" s="295"/>
    </row>
    <row r="1083" spans="5:6" ht="39" customHeight="1">
      <c r="E1083" s="295"/>
      <c r="F1083" s="295"/>
    </row>
    <row r="1084" spans="5:6" ht="39" customHeight="1">
      <c r="E1084" s="295"/>
      <c r="F1084" s="295"/>
    </row>
    <row r="1085" spans="5:6" ht="39" customHeight="1">
      <c r="E1085" s="295"/>
      <c r="F1085" s="295"/>
    </row>
    <row r="1086" spans="5:6" ht="39" customHeight="1">
      <c r="E1086" s="295"/>
      <c r="F1086" s="295"/>
    </row>
    <row r="1087" spans="5:6" ht="39" customHeight="1">
      <c r="E1087" s="295"/>
      <c r="F1087" s="295"/>
    </row>
    <row r="1088" spans="5:6" ht="39" customHeight="1">
      <c r="E1088" s="295"/>
      <c r="F1088" s="295"/>
    </row>
    <row r="1089" spans="5:6" ht="39" customHeight="1">
      <c r="E1089" s="295"/>
      <c r="F1089" s="295"/>
    </row>
    <row r="1090" spans="5:6" ht="39" customHeight="1">
      <c r="E1090" s="295"/>
      <c r="F1090" s="295"/>
    </row>
    <row r="1091" spans="5:6" ht="39" customHeight="1">
      <c r="E1091" s="295"/>
      <c r="F1091" s="295"/>
    </row>
    <row r="1092" spans="5:6" ht="39" customHeight="1">
      <c r="E1092" s="295"/>
      <c r="F1092" s="295"/>
    </row>
    <row r="1093" spans="5:6" ht="39" customHeight="1">
      <c r="E1093" s="295"/>
      <c r="F1093" s="295"/>
    </row>
    <row r="1094" spans="5:6" ht="39" customHeight="1">
      <c r="E1094" s="295"/>
      <c r="F1094" s="295"/>
    </row>
    <row r="1095" spans="5:6" ht="39" customHeight="1">
      <c r="E1095" s="295"/>
      <c r="F1095" s="295"/>
    </row>
    <row r="1096" spans="5:6" ht="39" customHeight="1">
      <c r="E1096" s="295"/>
      <c r="F1096" s="295"/>
    </row>
    <row r="1097" spans="5:6" ht="39" customHeight="1">
      <c r="E1097" s="295"/>
      <c r="F1097" s="295"/>
    </row>
    <row r="1098" spans="5:6" ht="39" customHeight="1">
      <c r="E1098" s="295"/>
      <c r="F1098" s="295"/>
    </row>
    <row r="1099" spans="5:6" ht="39" customHeight="1">
      <c r="E1099" s="295"/>
      <c r="F1099" s="295"/>
    </row>
    <row r="1100" spans="5:6" ht="39" customHeight="1">
      <c r="E1100" s="295"/>
      <c r="F1100" s="295"/>
    </row>
    <row r="1101" spans="5:6" ht="39" customHeight="1">
      <c r="E1101" s="295"/>
      <c r="F1101" s="295"/>
    </row>
    <row r="1102" spans="5:6" ht="39" customHeight="1">
      <c r="E1102" s="295"/>
      <c r="F1102" s="295"/>
    </row>
    <row r="1103" spans="5:6" ht="39" customHeight="1">
      <c r="E1103" s="295"/>
      <c r="F1103" s="295"/>
    </row>
    <row r="1104" spans="5:6" ht="39" customHeight="1">
      <c r="E1104" s="295"/>
      <c r="F1104" s="295"/>
    </row>
    <row r="1105" spans="5:6" ht="39" customHeight="1">
      <c r="E1105" s="295"/>
      <c r="F1105" s="295"/>
    </row>
    <row r="1106" spans="5:6" ht="39" customHeight="1">
      <c r="E1106" s="295"/>
      <c r="F1106" s="295"/>
    </row>
    <row r="1107" spans="5:6" ht="39" customHeight="1">
      <c r="E1107" s="295"/>
      <c r="F1107" s="295"/>
    </row>
    <row r="1108" spans="5:6" ht="39" customHeight="1">
      <c r="E1108" s="295"/>
      <c r="F1108" s="295"/>
    </row>
    <row r="1109" spans="5:6" ht="39" customHeight="1">
      <c r="E1109" s="295"/>
      <c r="F1109" s="295"/>
    </row>
    <row r="1110" spans="5:6" ht="39" customHeight="1">
      <c r="E1110" s="295"/>
      <c r="F1110" s="295"/>
    </row>
    <row r="1111" spans="5:6" ht="39" customHeight="1">
      <c r="E1111" s="295"/>
      <c r="F1111" s="295"/>
    </row>
    <row r="1112" spans="5:6" ht="39" customHeight="1">
      <c r="E1112" s="295"/>
      <c r="F1112" s="295"/>
    </row>
    <row r="1113" spans="5:6" ht="39" customHeight="1">
      <c r="E1113" s="295"/>
      <c r="F1113" s="295"/>
    </row>
    <row r="1114" spans="5:6" ht="39" customHeight="1">
      <c r="E1114" s="295"/>
      <c r="F1114" s="295"/>
    </row>
    <row r="1115" spans="5:6" ht="39" customHeight="1">
      <c r="E1115" s="295"/>
      <c r="F1115" s="295"/>
    </row>
    <row r="1116" spans="5:6" ht="39" customHeight="1">
      <c r="E1116" s="295"/>
      <c r="F1116" s="295"/>
    </row>
    <row r="1117" spans="5:6" ht="39" customHeight="1">
      <c r="E1117" s="295"/>
      <c r="F1117" s="295"/>
    </row>
    <row r="1118" spans="5:6" ht="39" customHeight="1">
      <c r="E1118" s="295"/>
      <c r="F1118" s="295"/>
    </row>
    <row r="1119" spans="5:6" ht="39" customHeight="1">
      <c r="E1119" s="295"/>
      <c r="F1119" s="295"/>
    </row>
    <row r="1120" spans="5:6" ht="39" customHeight="1">
      <c r="E1120" s="295"/>
      <c r="F1120" s="295"/>
    </row>
    <row r="1121" spans="5:6" ht="39" customHeight="1">
      <c r="E1121" s="295"/>
      <c r="F1121" s="295"/>
    </row>
    <row r="1122" spans="5:6" ht="39" customHeight="1">
      <c r="E1122" s="295"/>
      <c r="F1122" s="295"/>
    </row>
    <row r="1123" spans="5:6" ht="39" customHeight="1">
      <c r="E1123" s="295"/>
      <c r="F1123" s="295"/>
    </row>
    <row r="1124" spans="5:6" ht="39" customHeight="1">
      <c r="E1124" s="295"/>
      <c r="F1124" s="295"/>
    </row>
    <row r="1125" spans="5:6" ht="39" customHeight="1">
      <c r="E1125" s="295"/>
      <c r="F1125" s="295"/>
    </row>
    <row r="1126" spans="5:6" ht="39" customHeight="1">
      <c r="E1126" s="295"/>
      <c r="F1126" s="295"/>
    </row>
    <row r="1127" spans="5:6" ht="39" customHeight="1">
      <c r="E1127" s="295"/>
      <c r="F1127" s="295"/>
    </row>
    <row r="1128" spans="5:6" ht="39" customHeight="1">
      <c r="E1128" s="295"/>
      <c r="F1128" s="295"/>
    </row>
    <row r="1129" spans="5:6" ht="39" customHeight="1">
      <c r="E1129" s="295"/>
      <c r="F1129" s="295"/>
    </row>
    <row r="1130" spans="5:6" ht="39" customHeight="1">
      <c r="E1130" s="295"/>
      <c r="F1130" s="295"/>
    </row>
    <row r="1131" spans="5:6" ht="39" customHeight="1">
      <c r="E1131" s="295"/>
      <c r="F1131" s="295"/>
    </row>
    <row r="1132" spans="5:6" ht="39" customHeight="1">
      <c r="E1132" s="295"/>
      <c r="F1132" s="295"/>
    </row>
    <row r="1133" spans="5:6" ht="39" customHeight="1">
      <c r="E1133" s="295"/>
      <c r="F1133" s="295"/>
    </row>
    <row r="1134" spans="5:6" ht="39" customHeight="1">
      <c r="E1134" s="295"/>
      <c r="F1134" s="295"/>
    </row>
    <row r="1135" spans="5:6" ht="39" customHeight="1">
      <c r="E1135" s="295"/>
      <c r="F1135" s="295"/>
    </row>
    <row r="1136" spans="5:6" ht="39" customHeight="1">
      <c r="E1136" s="295"/>
      <c r="F1136" s="295"/>
    </row>
    <row r="1137" spans="5:6" ht="39" customHeight="1">
      <c r="E1137" s="295"/>
      <c r="F1137" s="295"/>
    </row>
    <row r="1138" spans="5:6" ht="39" customHeight="1">
      <c r="E1138" s="295"/>
      <c r="F1138" s="295"/>
    </row>
    <row r="1139" spans="5:6" ht="39" customHeight="1">
      <c r="E1139" s="295"/>
      <c r="F1139" s="295"/>
    </row>
    <row r="1140" spans="5:6" ht="39" customHeight="1">
      <c r="E1140" s="295"/>
      <c r="F1140" s="295"/>
    </row>
    <row r="1141" spans="5:6" ht="39" customHeight="1">
      <c r="E1141" s="295"/>
      <c r="F1141" s="295"/>
    </row>
    <row r="1142" spans="5:6" ht="39" customHeight="1">
      <c r="E1142" s="295"/>
      <c r="F1142" s="295"/>
    </row>
    <row r="1143" spans="5:6" ht="39" customHeight="1">
      <c r="E1143" s="295"/>
      <c r="F1143" s="295"/>
    </row>
    <row r="1144" spans="5:6" ht="39" customHeight="1">
      <c r="E1144" s="295"/>
      <c r="F1144" s="295"/>
    </row>
    <row r="1145" spans="5:6" ht="39" customHeight="1">
      <c r="E1145" s="295"/>
      <c r="F1145" s="295"/>
    </row>
    <row r="1146" spans="5:6" ht="39" customHeight="1">
      <c r="E1146" s="295"/>
      <c r="F1146" s="295"/>
    </row>
    <row r="1147" spans="5:6" ht="39" customHeight="1">
      <c r="E1147" s="295"/>
      <c r="F1147" s="295"/>
    </row>
    <row r="1148" spans="5:6" ht="39" customHeight="1">
      <c r="E1148" s="295"/>
      <c r="F1148" s="295"/>
    </row>
    <row r="1149" spans="5:6" ht="39" customHeight="1">
      <c r="E1149" s="295"/>
      <c r="F1149" s="295"/>
    </row>
    <row r="1150" spans="5:6" ht="39" customHeight="1">
      <c r="E1150" s="295"/>
      <c r="F1150" s="295"/>
    </row>
    <row r="1151" spans="5:6" ht="39" customHeight="1">
      <c r="E1151" s="295"/>
      <c r="F1151" s="295"/>
    </row>
    <row r="1152" spans="5:6" ht="39" customHeight="1">
      <c r="E1152" s="295"/>
      <c r="F1152" s="295"/>
    </row>
    <row r="1153" spans="5:6" ht="39" customHeight="1">
      <c r="E1153" s="295"/>
      <c r="F1153" s="295"/>
    </row>
    <row r="1154" spans="5:6" ht="39" customHeight="1">
      <c r="E1154" s="295"/>
      <c r="F1154" s="295"/>
    </row>
    <row r="1155" spans="5:6" ht="39" customHeight="1">
      <c r="E1155" s="295"/>
      <c r="F1155" s="295"/>
    </row>
    <row r="1156" spans="5:6" ht="39" customHeight="1">
      <c r="E1156" s="295"/>
      <c r="F1156" s="295"/>
    </row>
    <row r="1157" spans="5:6" ht="39" customHeight="1">
      <c r="E1157" s="295"/>
      <c r="F1157" s="295"/>
    </row>
    <row r="1158" spans="5:6" ht="39" customHeight="1">
      <c r="E1158" s="295"/>
      <c r="F1158" s="295"/>
    </row>
    <row r="1159" spans="5:6" ht="39" customHeight="1">
      <c r="E1159" s="295"/>
      <c r="F1159" s="295"/>
    </row>
    <row r="1160" spans="5:6" ht="39" customHeight="1">
      <c r="E1160" s="295"/>
      <c r="F1160" s="295"/>
    </row>
    <row r="1161" spans="5:6" ht="39" customHeight="1">
      <c r="E1161" s="295"/>
      <c r="F1161" s="295"/>
    </row>
    <row r="1162" spans="5:6" ht="39" customHeight="1">
      <c r="E1162" s="295"/>
      <c r="F1162" s="295"/>
    </row>
    <row r="1163" spans="5:6" ht="39" customHeight="1">
      <c r="E1163" s="295"/>
      <c r="F1163" s="295"/>
    </row>
    <row r="1164" spans="5:6" ht="39" customHeight="1">
      <c r="E1164" s="295"/>
      <c r="F1164" s="295"/>
    </row>
    <row r="1165" spans="5:6" ht="39" customHeight="1">
      <c r="E1165" s="295"/>
      <c r="F1165" s="295"/>
    </row>
    <row r="1166" spans="5:6" ht="39" customHeight="1">
      <c r="E1166" s="295"/>
      <c r="F1166" s="295"/>
    </row>
    <row r="1167" spans="5:6" ht="39" customHeight="1">
      <c r="E1167" s="295"/>
      <c r="F1167" s="295"/>
    </row>
    <row r="1168" spans="5:6" ht="39" customHeight="1">
      <c r="E1168" s="295"/>
      <c r="F1168" s="295"/>
    </row>
    <row r="1169" spans="5:6" ht="39" customHeight="1">
      <c r="E1169" s="295"/>
      <c r="F1169" s="295"/>
    </row>
    <row r="1170" spans="5:6" ht="39" customHeight="1">
      <c r="E1170" s="295"/>
      <c r="F1170" s="295"/>
    </row>
    <row r="1171" spans="5:6" ht="39" customHeight="1">
      <c r="E1171" s="295"/>
      <c r="F1171" s="295"/>
    </row>
    <row r="1172" spans="5:6" ht="39" customHeight="1">
      <c r="E1172" s="295"/>
      <c r="F1172" s="295"/>
    </row>
    <row r="1173" spans="5:6" ht="39" customHeight="1">
      <c r="E1173" s="295"/>
      <c r="F1173" s="295"/>
    </row>
    <row r="1174" spans="5:6" ht="39" customHeight="1">
      <c r="E1174" s="295"/>
      <c r="F1174" s="295"/>
    </row>
    <row r="1175" spans="5:6" ht="39" customHeight="1">
      <c r="E1175" s="295"/>
      <c r="F1175" s="295"/>
    </row>
    <row r="1176" spans="5:6" ht="39" customHeight="1">
      <c r="E1176" s="295"/>
      <c r="F1176" s="295"/>
    </row>
    <row r="1177" spans="5:6" ht="39" customHeight="1">
      <c r="E1177" s="295"/>
      <c r="F1177" s="295"/>
    </row>
    <row r="1178" spans="5:6" ht="39" customHeight="1">
      <c r="E1178" s="295"/>
      <c r="F1178" s="295"/>
    </row>
    <row r="1179" spans="5:6" ht="39" customHeight="1">
      <c r="E1179" s="295"/>
      <c r="F1179" s="295"/>
    </row>
    <row r="1180" spans="5:6" ht="39" customHeight="1">
      <c r="E1180" s="295"/>
      <c r="F1180" s="295"/>
    </row>
    <row r="1181" spans="5:6" ht="39" customHeight="1">
      <c r="E1181" s="295"/>
      <c r="F1181" s="295"/>
    </row>
    <row r="1182" spans="5:6" ht="39" customHeight="1">
      <c r="E1182" s="295"/>
      <c r="F1182" s="295"/>
    </row>
    <row r="1183" spans="5:6" ht="39" customHeight="1">
      <c r="E1183" s="295"/>
      <c r="F1183" s="295"/>
    </row>
    <row r="1184" spans="5:6" ht="39" customHeight="1">
      <c r="E1184" s="295"/>
      <c r="F1184" s="295"/>
    </row>
    <row r="1185" spans="5:6" ht="39" customHeight="1">
      <c r="E1185" s="295"/>
      <c r="F1185" s="295"/>
    </row>
    <row r="1186" spans="5:6" ht="39" customHeight="1">
      <c r="E1186" s="295"/>
      <c r="F1186" s="295"/>
    </row>
    <row r="1187" spans="5:6" ht="39" customHeight="1">
      <c r="E1187" s="295"/>
      <c r="F1187" s="295"/>
    </row>
    <row r="1188" spans="5:6" ht="39" customHeight="1">
      <c r="E1188" s="295"/>
      <c r="F1188" s="295"/>
    </row>
    <row r="1189" spans="5:6" ht="39" customHeight="1">
      <c r="E1189" s="295"/>
      <c r="F1189" s="295"/>
    </row>
    <row r="1190" spans="5:6" ht="39" customHeight="1">
      <c r="E1190" s="295"/>
      <c r="F1190" s="295"/>
    </row>
    <row r="1191" spans="5:6" ht="39" customHeight="1">
      <c r="E1191" s="295"/>
      <c r="F1191" s="295"/>
    </row>
    <row r="1192" spans="5:6" ht="39" customHeight="1">
      <c r="E1192" s="295"/>
      <c r="F1192" s="295"/>
    </row>
    <row r="1193" spans="5:6" ht="39" customHeight="1">
      <c r="E1193" s="295"/>
      <c r="F1193" s="295"/>
    </row>
    <row r="1194" spans="5:6" ht="39" customHeight="1">
      <c r="E1194" s="295"/>
      <c r="F1194" s="295"/>
    </row>
    <row r="1195" spans="5:6" ht="39" customHeight="1">
      <c r="E1195" s="295"/>
      <c r="F1195" s="295"/>
    </row>
    <row r="1196" spans="5:6" ht="39" customHeight="1">
      <c r="E1196" s="295"/>
      <c r="F1196" s="295"/>
    </row>
    <row r="1197" spans="5:6" ht="39" customHeight="1">
      <c r="E1197" s="295"/>
      <c r="F1197" s="295"/>
    </row>
    <row r="1198" spans="5:6" ht="39" customHeight="1">
      <c r="E1198" s="295"/>
      <c r="F1198" s="295"/>
    </row>
    <row r="1199" spans="5:6" ht="39" customHeight="1">
      <c r="E1199" s="295"/>
      <c r="F1199" s="295"/>
    </row>
    <row r="1200" spans="5:6" ht="39" customHeight="1">
      <c r="E1200" s="295"/>
      <c r="F1200" s="295"/>
    </row>
    <row r="1201" spans="5:6" ht="39" customHeight="1">
      <c r="E1201" s="295"/>
      <c r="F1201" s="295"/>
    </row>
    <row r="1202" spans="5:6" ht="39" customHeight="1">
      <c r="E1202" s="295"/>
      <c r="F1202" s="295"/>
    </row>
    <row r="1203" spans="5:6" ht="39" customHeight="1">
      <c r="E1203" s="295"/>
      <c r="F1203" s="295"/>
    </row>
    <row r="1204" spans="5:6" ht="39" customHeight="1">
      <c r="E1204" s="295"/>
      <c r="F1204" s="295"/>
    </row>
    <row r="1205" spans="5:6" ht="39" customHeight="1">
      <c r="E1205" s="295"/>
      <c r="F1205" s="295"/>
    </row>
    <row r="1206" spans="5:6" ht="39" customHeight="1">
      <c r="E1206" s="295"/>
      <c r="F1206" s="295"/>
    </row>
    <row r="1207" spans="5:6" ht="39" customHeight="1">
      <c r="E1207" s="295"/>
      <c r="F1207" s="295"/>
    </row>
    <row r="1208" spans="5:6" ht="39" customHeight="1">
      <c r="E1208" s="295"/>
      <c r="F1208" s="295"/>
    </row>
    <row r="1209" spans="5:6" ht="39" customHeight="1">
      <c r="E1209" s="295"/>
      <c r="F1209" s="295"/>
    </row>
    <row r="1210" spans="5:6" ht="39" customHeight="1">
      <c r="E1210" s="295"/>
      <c r="F1210" s="295"/>
    </row>
    <row r="1211" spans="5:6" ht="39" customHeight="1">
      <c r="E1211" s="295"/>
      <c r="F1211" s="295"/>
    </row>
    <row r="1212" spans="5:6" ht="39" customHeight="1">
      <c r="E1212" s="295"/>
      <c r="F1212" s="295"/>
    </row>
    <row r="1213" spans="5:6" ht="39" customHeight="1">
      <c r="E1213" s="295"/>
      <c r="F1213" s="295"/>
    </row>
    <row r="1214" spans="5:6" ht="39" customHeight="1">
      <c r="E1214" s="295"/>
      <c r="F1214" s="295"/>
    </row>
    <row r="1215" spans="5:6" ht="39" customHeight="1">
      <c r="E1215" s="295"/>
      <c r="F1215" s="295"/>
    </row>
    <row r="1216" spans="5:6" ht="39" customHeight="1">
      <c r="E1216" s="295"/>
      <c r="F1216" s="295"/>
    </row>
    <row r="1217" spans="5:6" ht="39" customHeight="1">
      <c r="E1217" s="295"/>
      <c r="F1217" s="295"/>
    </row>
    <row r="1218" spans="5:6" ht="39" customHeight="1">
      <c r="E1218" s="295"/>
      <c r="F1218" s="295"/>
    </row>
    <row r="1219" spans="5:6" ht="39" customHeight="1">
      <c r="E1219" s="295"/>
      <c r="F1219" s="295"/>
    </row>
    <row r="1220" spans="5:6" ht="39" customHeight="1">
      <c r="E1220" s="295"/>
      <c r="F1220" s="295"/>
    </row>
    <row r="1221" spans="5:6" ht="39" customHeight="1">
      <c r="E1221" s="295"/>
      <c r="F1221" s="295"/>
    </row>
    <row r="1222" spans="5:6" ht="39" customHeight="1">
      <c r="E1222" s="295"/>
      <c r="F1222" s="295"/>
    </row>
    <row r="1223" spans="5:6" ht="39" customHeight="1">
      <c r="E1223" s="295"/>
      <c r="F1223" s="295"/>
    </row>
    <row r="1224" spans="5:6" ht="39" customHeight="1">
      <c r="E1224" s="295"/>
      <c r="F1224" s="295"/>
    </row>
    <row r="1225" spans="5:6" ht="39" customHeight="1">
      <c r="E1225" s="295"/>
      <c r="F1225" s="295"/>
    </row>
    <row r="1226" spans="5:6" ht="39" customHeight="1">
      <c r="E1226" s="295"/>
      <c r="F1226" s="295"/>
    </row>
    <row r="1227" spans="5:6" ht="39" customHeight="1">
      <c r="E1227" s="295"/>
      <c r="F1227" s="295"/>
    </row>
    <row r="1228" spans="5:6" ht="39" customHeight="1">
      <c r="E1228" s="295"/>
      <c r="F1228" s="295"/>
    </row>
    <row r="1229" spans="5:6" ht="39" customHeight="1">
      <c r="E1229" s="295"/>
      <c r="F1229" s="295"/>
    </row>
    <row r="1230" spans="5:6" ht="39" customHeight="1">
      <c r="E1230" s="295"/>
      <c r="F1230" s="295"/>
    </row>
    <row r="1231" spans="5:6" ht="39" customHeight="1">
      <c r="E1231" s="295"/>
      <c r="F1231" s="295"/>
    </row>
    <row r="1232" spans="5:6" ht="39" customHeight="1">
      <c r="E1232" s="295"/>
      <c r="F1232" s="295"/>
    </row>
    <row r="1233" spans="5:6" ht="39" customHeight="1">
      <c r="E1233" s="295"/>
      <c r="F1233" s="295"/>
    </row>
    <row r="1234" spans="5:6" ht="39" customHeight="1">
      <c r="E1234" s="295"/>
      <c r="F1234" s="295"/>
    </row>
    <row r="1235" spans="5:6" ht="39" customHeight="1">
      <c r="E1235" s="295"/>
      <c r="F1235" s="295"/>
    </row>
    <row r="1236" spans="5:6" ht="39" customHeight="1">
      <c r="E1236" s="295"/>
      <c r="F1236" s="295"/>
    </row>
    <row r="1237" spans="5:6" ht="39" customHeight="1">
      <c r="E1237" s="295"/>
      <c r="F1237" s="295"/>
    </row>
    <row r="1238" spans="5:6" ht="39" customHeight="1">
      <c r="E1238" s="295"/>
      <c r="F1238" s="295"/>
    </row>
    <row r="1239" spans="5:6" ht="39" customHeight="1">
      <c r="E1239" s="295"/>
      <c r="F1239" s="295"/>
    </row>
    <row r="1240" spans="5:6" ht="39" customHeight="1">
      <c r="E1240" s="295"/>
      <c r="F1240" s="295"/>
    </row>
    <row r="1241" spans="5:6" ht="39" customHeight="1">
      <c r="E1241" s="295"/>
      <c r="F1241" s="295"/>
    </row>
    <row r="1242" spans="5:6" ht="39" customHeight="1">
      <c r="E1242" s="295"/>
      <c r="F1242" s="295"/>
    </row>
    <row r="1243" spans="5:6" ht="39" customHeight="1">
      <c r="E1243" s="295"/>
      <c r="F1243" s="295"/>
    </row>
    <row r="1244" spans="5:6" ht="39" customHeight="1">
      <c r="E1244" s="295"/>
      <c r="F1244" s="295"/>
    </row>
    <row r="1245" spans="5:6" ht="39" customHeight="1">
      <c r="E1245" s="295"/>
      <c r="F1245" s="295"/>
    </row>
    <row r="1246" spans="5:6" ht="39" customHeight="1">
      <c r="E1246" s="295"/>
      <c r="F1246" s="295"/>
    </row>
    <row r="1247" spans="5:6" ht="39" customHeight="1">
      <c r="E1247" s="295"/>
      <c r="F1247" s="295"/>
    </row>
    <row r="1248" spans="5:6" ht="39" customHeight="1">
      <c r="E1248" s="295"/>
      <c r="F1248" s="295"/>
    </row>
    <row r="1249" spans="5:6" ht="39" customHeight="1">
      <c r="E1249" s="295"/>
      <c r="F1249" s="295"/>
    </row>
    <row r="1250" spans="5:6" ht="39" customHeight="1">
      <c r="E1250" s="295"/>
      <c r="F1250" s="295"/>
    </row>
    <row r="1251" spans="5:6" ht="39" customHeight="1">
      <c r="E1251" s="295"/>
      <c r="F1251" s="295"/>
    </row>
    <row r="1252" spans="5:6" ht="39" customHeight="1">
      <c r="E1252" s="295"/>
      <c r="F1252" s="295"/>
    </row>
    <row r="1253" spans="5:6" ht="39" customHeight="1">
      <c r="E1253" s="295"/>
      <c r="F1253" s="295"/>
    </row>
    <row r="1254" spans="5:6" ht="39" customHeight="1">
      <c r="E1254" s="295"/>
      <c r="F1254" s="295"/>
    </row>
    <row r="1255" spans="5:6" ht="39" customHeight="1">
      <c r="E1255" s="295"/>
      <c r="F1255" s="295"/>
    </row>
    <row r="1256" spans="5:6" ht="39" customHeight="1">
      <c r="E1256" s="295"/>
      <c r="F1256" s="295"/>
    </row>
    <row r="1257" spans="5:6" ht="39" customHeight="1">
      <c r="E1257" s="295"/>
      <c r="F1257" s="295"/>
    </row>
    <row r="1258" spans="5:6" ht="39" customHeight="1">
      <c r="E1258" s="295"/>
      <c r="F1258" s="295"/>
    </row>
    <row r="1259" spans="5:6" ht="39" customHeight="1">
      <c r="E1259" s="295"/>
      <c r="F1259" s="295"/>
    </row>
    <row r="1260" spans="5:6" ht="39" customHeight="1">
      <c r="E1260" s="295"/>
      <c r="F1260" s="295"/>
    </row>
    <row r="1261" spans="5:6" ht="39" customHeight="1">
      <c r="E1261" s="295"/>
      <c r="F1261" s="295"/>
    </row>
    <row r="1262" spans="5:6" ht="39" customHeight="1">
      <c r="E1262" s="295"/>
      <c r="F1262" s="295"/>
    </row>
    <row r="1263" spans="5:6" ht="39" customHeight="1">
      <c r="E1263" s="295"/>
      <c r="F1263" s="295"/>
    </row>
    <row r="1264" spans="5:6" ht="39" customHeight="1">
      <c r="E1264" s="295"/>
      <c r="F1264" s="295"/>
    </row>
    <row r="1265" spans="5:6" ht="39" customHeight="1">
      <c r="E1265" s="295"/>
      <c r="F1265" s="295"/>
    </row>
    <row r="1266" spans="5:6" ht="39" customHeight="1">
      <c r="E1266" s="295"/>
      <c r="F1266" s="295"/>
    </row>
    <row r="1267" spans="5:6" ht="39" customHeight="1">
      <c r="E1267" s="295"/>
      <c r="F1267" s="295"/>
    </row>
    <row r="1268" spans="5:6" ht="39" customHeight="1">
      <c r="E1268" s="295"/>
      <c r="F1268" s="295"/>
    </row>
    <row r="1269" spans="5:6" ht="39" customHeight="1">
      <c r="E1269" s="295"/>
      <c r="F1269" s="295"/>
    </row>
    <row r="1270" spans="5:6" ht="39" customHeight="1">
      <c r="E1270" s="295"/>
      <c r="F1270" s="295"/>
    </row>
    <row r="1271" spans="5:6" ht="39" customHeight="1">
      <c r="E1271" s="295"/>
      <c r="F1271" s="295"/>
    </row>
    <row r="1272" spans="5:6" ht="39" customHeight="1">
      <c r="E1272" s="295"/>
      <c r="F1272" s="295"/>
    </row>
    <row r="1273" spans="5:6" ht="39" customHeight="1">
      <c r="E1273" s="295"/>
      <c r="F1273" s="295"/>
    </row>
    <row r="1274" spans="5:6" ht="39" customHeight="1">
      <c r="E1274" s="295"/>
      <c r="F1274" s="295"/>
    </row>
    <row r="1275" spans="5:6" ht="39" customHeight="1">
      <c r="E1275" s="295"/>
      <c r="F1275" s="295"/>
    </row>
    <row r="1276" spans="5:6" ht="39" customHeight="1">
      <c r="E1276" s="295"/>
      <c r="F1276" s="295"/>
    </row>
    <row r="1277" spans="5:6" ht="39" customHeight="1">
      <c r="E1277" s="295"/>
      <c r="F1277" s="295"/>
    </row>
    <row r="1278" spans="5:6" ht="39" customHeight="1">
      <c r="E1278" s="295"/>
      <c r="F1278" s="295"/>
    </row>
    <row r="1279" spans="5:6" ht="39" customHeight="1">
      <c r="E1279" s="295"/>
      <c r="F1279" s="295"/>
    </row>
    <row r="1280" spans="5:6" ht="39" customHeight="1">
      <c r="E1280" s="295"/>
      <c r="F1280" s="295"/>
    </row>
    <row r="1281" spans="5:6" ht="39" customHeight="1">
      <c r="E1281" s="295"/>
      <c r="F1281" s="295"/>
    </row>
    <row r="1282" spans="5:6" ht="39" customHeight="1">
      <c r="E1282" s="295"/>
      <c r="F1282" s="295"/>
    </row>
    <row r="1283" spans="5:6" ht="39" customHeight="1">
      <c r="E1283" s="295"/>
      <c r="F1283" s="295"/>
    </row>
    <row r="1284" spans="5:6" ht="39" customHeight="1">
      <c r="E1284" s="295"/>
      <c r="F1284" s="295"/>
    </row>
    <row r="1285" spans="5:6" ht="39" customHeight="1">
      <c r="E1285" s="295"/>
      <c r="F1285" s="295"/>
    </row>
    <row r="1286" spans="5:6" ht="39" customHeight="1">
      <c r="E1286" s="295"/>
      <c r="F1286" s="295"/>
    </row>
    <row r="1287" spans="5:6" ht="39" customHeight="1">
      <c r="E1287" s="295"/>
      <c r="F1287" s="295"/>
    </row>
    <row r="1288" spans="5:6" ht="39" customHeight="1">
      <c r="E1288" s="295"/>
      <c r="F1288" s="295"/>
    </row>
    <row r="1289" spans="5:6" ht="39" customHeight="1">
      <c r="E1289" s="295"/>
      <c r="F1289" s="295"/>
    </row>
    <row r="1290" spans="5:6" ht="39" customHeight="1">
      <c r="E1290" s="295"/>
      <c r="F1290" s="295"/>
    </row>
    <row r="1291" spans="5:6" ht="39" customHeight="1">
      <c r="E1291" s="295"/>
      <c r="F1291" s="295"/>
    </row>
    <row r="1292" spans="5:6" ht="39" customHeight="1">
      <c r="E1292" s="295"/>
      <c r="F1292" s="295"/>
    </row>
    <row r="1293" spans="5:6" ht="39" customHeight="1">
      <c r="E1293" s="295"/>
      <c r="F1293" s="295"/>
    </row>
    <row r="1294" spans="5:6" ht="39" customHeight="1">
      <c r="E1294" s="295"/>
      <c r="F1294" s="295"/>
    </row>
    <row r="1295" spans="5:6" ht="39" customHeight="1">
      <c r="E1295" s="295"/>
      <c r="F1295" s="295"/>
    </row>
    <row r="1296" spans="5:6" ht="39" customHeight="1">
      <c r="E1296" s="295"/>
      <c r="F1296" s="295"/>
    </row>
    <row r="1297" spans="5:6" ht="39" customHeight="1">
      <c r="E1297" s="295"/>
      <c r="F1297" s="295"/>
    </row>
    <row r="1298" spans="5:6" ht="39" customHeight="1">
      <c r="E1298" s="295"/>
      <c r="F1298" s="295"/>
    </row>
    <row r="1299" spans="5:6" ht="39" customHeight="1">
      <c r="E1299" s="295"/>
      <c r="F1299" s="295"/>
    </row>
    <row r="1300" spans="5:6" ht="39" customHeight="1">
      <c r="E1300" s="295"/>
      <c r="F1300" s="295"/>
    </row>
    <row r="1301" spans="5:6" ht="39" customHeight="1">
      <c r="E1301" s="295"/>
      <c r="F1301" s="295"/>
    </row>
    <row r="1302" spans="5:6" ht="39" customHeight="1">
      <c r="E1302" s="295"/>
      <c r="F1302" s="295"/>
    </row>
    <row r="1303" spans="5:6" ht="39" customHeight="1">
      <c r="E1303" s="295"/>
      <c r="F1303" s="295"/>
    </row>
    <row r="1304" spans="5:6" ht="39" customHeight="1">
      <c r="E1304" s="295"/>
      <c r="F1304" s="295"/>
    </row>
    <row r="1305" spans="5:6" ht="39" customHeight="1">
      <c r="E1305" s="295"/>
      <c r="F1305" s="295"/>
    </row>
    <row r="1306" spans="5:6" ht="39" customHeight="1">
      <c r="E1306" s="295"/>
      <c r="F1306" s="295"/>
    </row>
    <row r="1307" spans="5:6" ht="39" customHeight="1">
      <c r="E1307" s="295"/>
      <c r="F1307" s="295"/>
    </row>
    <row r="1308" spans="5:6" ht="39" customHeight="1">
      <c r="E1308" s="295"/>
      <c r="F1308" s="295"/>
    </row>
    <row r="1309" spans="5:6" ht="39" customHeight="1">
      <c r="E1309" s="295"/>
      <c r="F1309" s="295"/>
    </row>
    <row r="1310" spans="5:6" ht="39" customHeight="1">
      <c r="E1310" s="295"/>
      <c r="F1310" s="295"/>
    </row>
    <row r="1311" spans="5:6" ht="39" customHeight="1">
      <c r="E1311" s="295"/>
      <c r="F1311" s="295"/>
    </row>
    <row r="1312" spans="5:6" ht="39" customHeight="1">
      <c r="E1312" s="295"/>
      <c r="F1312" s="295"/>
    </row>
    <row r="1313" spans="5:6" ht="39" customHeight="1">
      <c r="E1313" s="295"/>
      <c r="F1313" s="295"/>
    </row>
    <row r="1314" spans="5:6" ht="39" customHeight="1">
      <c r="E1314" s="295"/>
      <c r="F1314" s="295"/>
    </row>
    <row r="1315" spans="5:6" ht="39" customHeight="1">
      <c r="E1315" s="295"/>
      <c r="F1315" s="295"/>
    </row>
    <row r="1316" spans="5:6" ht="39" customHeight="1">
      <c r="E1316" s="295"/>
      <c r="F1316" s="295"/>
    </row>
    <row r="1317" spans="5:6" ht="39" customHeight="1">
      <c r="E1317" s="295"/>
      <c r="F1317" s="295"/>
    </row>
    <row r="1318" spans="5:6" ht="39" customHeight="1">
      <c r="E1318" s="295"/>
      <c r="F1318" s="295"/>
    </row>
    <row r="1319" spans="5:6" ht="39" customHeight="1">
      <c r="E1319" s="295"/>
      <c r="F1319" s="295"/>
    </row>
    <row r="1320" spans="5:6" ht="39" customHeight="1">
      <c r="E1320" s="295"/>
      <c r="F1320" s="295"/>
    </row>
    <row r="1321" spans="5:6" ht="39" customHeight="1">
      <c r="E1321" s="295"/>
      <c r="F1321" s="295"/>
    </row>
    <row r="1322" spans="5:6" ht="39" customHeight="1">
      <c r="E1322" s="295"/>
      <c r="F1322" s="295"/>
    </row>
    <row r="1323" spans="5:6" ht="39" customHeight="1">
      <c r="E1323" s="295"/>
      <c r="F1323" s="295"/>
    </row>
    <row r="1324" spans="5:6" ht="39" customHeight="1">
      <c r="E1324" s="295"/>
      <c r="F1324" s="295"/>
    </row>
    <row r="1325" spans="5:6" ht="39" customHeight="1">
      <c r="E1325" s="295"/>
      <c r="F1325" s="295"/>
    </row>
    <row r="1326" spans="5:6" ht="39" customHeight="1">
      <c r="E1326" s="295"/>
      <c r="F1326" s="295"/>
    </row>
    <row r="1327" spans="5:6" ht="39" customHeight="1">
      <c r="E1327" s="295"/>
      <c r="F1327" s="295"/>
    </row>
    <row r="1328" spans="5:6" ht="39" customHeight="1">
      <c r="E1328" s="295"/>
      <c r="F1328" s="295"/>
    </row>
    <row r="1329" spans="5:6" ht="39" customHeight="1">
      <c r="E1329" s="295"/>
      <c r="F1329" s="295"/>
    </row>
    <row r="1330" spans="5:6" ht="39" customHeight="1">
      <c r="E1330" s="295"/>
      <c r="F1330" s="295"/>
    </row>
    <row r="1331" spans="5:6" ht="39" customHeight="1">
      <c r="E1331" s="295"/>
      <c r="F1331" s="295"/>
    </row>
    <row r="1332" spans="5:6" ht="39" customHeight="1">
      <c r="E1332" s="295"/>
      <c r="F1332" s="295"/>
    </row>
    <row r="1333" spans="5:6" ht="39" customHeight="1">
      <c r="E1333" s="295"/>
      <c r="F1333" s="295"/>
    </row>
    <row r="1334" spans="5:6" ht="39" customHeight="1">
      <c r="E1334" s="295"/>
      <c r="F1334" s="295"/>
    </row>
    <row r="1335" spans="5:6" ht="39" customHeight="1">
      <c r="E1335" s="295"/>
      <c r="F1335" s="295"/>
    </row>
    <row r="1336" spans="5:6" ht="39" customHeight="1">
      <c r="E1336" s="295"/>
      <c r="F1336" s="295"/>
    </row>
    <row r="1337" spans="5:6" ht="39" customHeight="1">
      <c r="E1337" s="295"/>
      <c r="F1337" s="295"/>
    </row>
    <row r="1338" spans="5:6" ht="39" customHeight="1">
      <c r="E1338" s="295"/>
      <c r="F1338" s="295"/>
    </row>
    <row r="1339" spans="5:6" ht="39" customHeight="1">
      <c r="E1339" s="295"/>
      <c r="F1339" s="295"/>
    </row>
    <row r="1340" spans="5:6" ht="39" customHeight="1">
      <c r="E1340" s="295"/>
      <c r="F1340" s="295"/>
    </row>
    <row r="1341" spans="5:6" ht="39" customHeight="1">
      <c r="E1341" s="295"/>
      <c r="F1341" s="295"/>
    </row>
    <row r="1342" spans="5:6" ht="39" customHeight="1">
      <c r="E1342" s="295"/>
      <c r="F1342" s="295"/>
    </row>
    <row r="1343" spans="5:6" ht="39" customHeight="1">
      <c r="E1343" s="295"/>
      <c r="F1343" s="295"/>
    </row>
    <row r="1344" spans="5:6" ht="39" customHeight="1">
      <c r="E1344" s="295"/>
      <c r="F1344" s="295"/>
    </row>
    <row r="1345" spans="5:6" ht="39" customHeight="1">
      <c r="E1345" s="295"/>
      <c r="F1345" s="295"/>
    </row>
    <row r="1346" spans="5:6" ht="39" customHeight="1">
      <c r="E1346" s="295"/>
      <c r="F1346" s="295"/>
    </row>
    <row r="1347" spans="5:6" ht="39" customHeight="1">
      <c r="E1347" s="295"/>
      <c r="F1347" s="295"/>
    </row>
    <row r="1348" spans="5:6" ht="39" customHeight="1">
      <c r="E1348" s="295"/>
      <c r="F1348" s="295"/>
    </row>
    <row r="1349" spans="5:6" ht="39" customHeight="1">
      <c r="E1349" s="295"/>
      <c r="F1349" s="295"/>
    </row>
    <row r="1350" spans="5:6" ht="39" customHeight="1">
      <c r="E1350" s="295"/>
      <c r="F1350" s="295"/>
    </row>
    <row r="1351" spans="5:6" ht="39" customHeight="1">
      <c r="E1351" s="295"/>
      <c r="F1351" s="295"/>
    </row>
    <row r="1352" spans="5:6" ht="39" customHeight="1">
      <c r="E1352" s="295"/>
      <c r="F1352" s="295"/>
    </row>
    <row r="1353" spans="5:6" ht="39" customHeight="1">
      <c r="E1353" s="295"/>
      <c r="F1353" s="295"/>
    </row>
    <row r="1354" spans="5:6" ht="39" customHeight="1">
      <c r="E1354" s="295"/>
      <c r="F1354" s="295"/>
    </row>
    <row r="1355" spans="5:6" ht="39" customHeight="1">
      <c r="E1355" s="295"/>
      <c r="F1355" s="295"/>
    </row>
    <row r="1356" spans="5:6" ht="39" customHeight="1">
      <c r="E1356" s="295"/>
      <c r="F1356" s="295"/>
    </row>
    <row r="1357" spans="5:6" ht="39" customHeight="1">
      <c r="E1357" s="295"/>
      <c r="F1357" s="295"/>
    </row>
    <row r="1358" spans="5:6" ht="39" customHeight="1">
      <c r="E1358" s="295"/>
      <c r="F1358" s="295"/>
    </row>
    <row r="1359" spans="5:6" ht="39" customHeight="1">
      <c r="E1359" s="295"/>
      <c r="F1359" s="295"/>
    </row>
    <row r="1360" spans="5:6" ht="39" customHeight="1">
      <c r="E1360" s="295"/>
      <c r="F1360" s="295"/>
    </row>
    <row r="1361" spans="5:6" ht="39" customHeight="1">
      <c r="E1361" s="295"/>
      <c r="F1361" s="295"/>
    </row>
    <row r="1362" spans="5:6" ht="39" customHeight="1">
      <c r="E1362" s="295"/>
      <c r="F1362" s="295"/>
    </row>
    <row r="1363" spans="5:6" ht="39" customHeight="1">
      <c r="E1363" s="295"/>
      <c r="F1363" s="295"/>
    </row>
    <row r="1364" spans="5:6" ht="39" customHeight="1">
      <c r="E1364" s="295"/>
      <c r="F1364" s="295"/>
    </row>
    <row r="1365" spans="5:6" ht="39" customHeight="1">
      <c r="E1365" s="295"/>
      <c r="F1365" s="295"/>
    </row>
    <row r="1366" spans="5:6" ht="39" customHeight="1">
      <c r="E1366" s="295"/>
      <c r="F1366" s="295"/>
    </row>
    <row r="1367" spans="5:6" ht="39" customHeight="1">
      <c r="E1367" s="295"/>
      <c r="F1367" s="295"/>
    </row>
    <row r="1368" spans="5:6" ht="39" customHeight="1">
      <c r="E1368" s="295"/>
      <c r="F1368" s="295"/>
    </row>
    <row r="1369" spans="5:6" ht="39" customHeight="1">
      <c r="E1369" s="295"/>
      <c r="F1369" s="295"/>
    </row>
    <row r="1370" spans="5:6" ht="39" customHeight="1">
      <c r="E1370" s="295"/>
      <c r="F1370" s="295"/>
    </row>
    <row r="1371" spans="5:6" ht="39" customHeight="1">
      <c r="E1371" s="295"/>
      <c r="F1371" s="295"/>
    </row>
    <row r="1372" spans="5:6" ht="39" customHeight="1">
      <c r="E1372" s="295"/>
      <c r="F1372" s="295"/>
    </row>
    <row r="1373" spans="5:6" ht="39" customHeight="1">
      <c r="E1373" s="295"/>
      <c r="F1373" s="295"/>
    </row>
    <row r="1374" spans="5:6" ht="39" customHeight="1">
      <c r="E1374" s="295"/>
      <c r="F1374" s="295"/>
    </row>
    <row r="1375" spans="5:6" ht="39" customHeight="1">
      <c r="E1375" s="295"/>
      <c r="F1375" s="295"/>
    </row>
    <row r="1376" spans="5:6" ht="39" customHeight="1">
      <c r="E1376" s="295"/>
      <c r="F1376" s="295"/>
    </row>
    <row r="1377" spans="5:6" ht="39" customHeight="1">
      <c r="E1377" s="295"/>
      <c r="F1377" s="295"/>
    </row>
    <row r="1378" spans="5:6" ht="39" customHeight="1">
      <c r="E1378" s="295"/>
      <c r="F1378" s="295"/>
    </row>
    <row r="1379" spans="5:6" ht="39" customHeight="1">
      <c r="E1379" s="295"/>
      <c r="F1379" s="295"/>
    </row>
    <row r="1380" spans="5:6" ht="39" customHeight="1">
      <c r="E1380" s="295"/>
      <c r="F1380" s="295"/>
    </row>
    <row r="1381" spans="5:6" ht="39" customHeight="1">
      <c r="E1381" s="295"/>
      <c r="F1381" s="295"/>
    </row>
    <row r="1382" spans="5:6" ht="39" customHeight="1">
      <c r="E1382" s="295"/>
      <c r="F1382" s="295"/>
    </row>
    <row r="1383" spans="5:6" ht="39" customHeight="1">
      <c r="E1383" s="295"/>
      <c r="F1383" s="295"/>
    </row>
    <row r="1384" spans="5:6" ht="39" customHeight="1">
      <c r="E1384" s="295"/>
      <c r="F1384" s="295"/>
    </row>
    <row r="1385" spans="5:6" ht="39" customHeight="1">
      <c r="E1385" s="295"/>
      <c r="F1385" s="295"/>
    </row>
    <row r="1386" spans="5:6" ht="39" customHeight="1">
      <c r="E1386" s="295"/>
      <c r="F1386" s="295"/>
    </row>
    <row r="1387" spans="5:6" ht="39" customHeight="1">
      <c r="E1387" s="295"/>
      <c r="F1387" s="295"/>
    </row>
    <row r="1388" spans="5:6" ht="39" customHeight="1">
      <c r="E1388" s="295"/>
      <c r="F1388" s="295"/>
    </row>
    <row r="1389" spans="5:6" ht="39" customHeight="1">
      <c r="E1389" s="295"/>
      <c r="F1389" s="295"/>
    </row>
    <row r="1390" spans="5:6" ht="39" customHeight="1">
      <c r="E1390" s="295"/>
      <c r="F1390" s="295"/>
    </row>
    <row r="1391" spans="5:6" ht="39" customHeight="1">
      <c r="E1391" s="295"/>
      <c r="F1391" s="295"/>
    </row>
    <row r="1392" spans="5:6" ht="39" customHeight="1">
      <c r="E1392" s="295"/>
      <c r="F1392" s="295"/>
    </row>
    <row r="1393" spans="5:6" ht="39" customHeight="1">
      <c r="E1393" s="295"/>
      <c r="F1393" s="295"/>
    </row>
  </sheetData>
  <sheetProtection algorithmName="SHA-512" hashValue="69nT5SYWnQkMyX69QWErD6K0cNzsOJeXYwZX3KKvzv4f/plqQWITVKx1Jp0xhgw8CgG3bmepD//l5MuHmqjA4Q==" saltValue="pafpT0Gu7QEQzuzAq3wBRg==" spinCount="100000" sheet="1" objects="1" scenarios="1"/>
  <mergeCells count="580">
    <mergeCell ref="N251:O255"/>
    <mergeCell ref="Q251:Q255"/>
    <mergeCell ref="N256:O260"/>
    <mergeCell ref="Q256:Q260"/>
    <mergeCell ref="R256:U260"/>
    <mergeCell ref="W256:W260"/>
    <mergeCell ref="A312:A316"/>
    <mergeCell ref="B312:B316"/>
    <mergeCell ref="C312:C316"/>
    <mergeCell ref="H288:H290"/>
    <mergeCell ref="K288:K290"/>
    <mergeCell ref="L288:L290"/>
    <mergeCell ref="O285:O290"/>
    <mergeCell ref="R289:R290"/>
    <mergeCell ref="S289:S290"/>
    <mergeCell ref="N291:O305"/>
    <mergeCell ref="Q291:Q305"/>
    <mergeCell ref="R291:U305"/>
    <mergeCell ref="R285:R286"/>
    <mergeCell ref="T285:T286"/>
    <mergeCell ref="U285:U286"/>
    <mergeCell ref="I288:I289"/>
    <mergeCell ref="A266:A270"/>
    <mergeCell ref="B266:B270"/>
    <mergeCell ref="A239:A240"/>
    <mergeCell ref="B239:B240"/>
    <mergeCell ref="C239:C240"/>
    <mergeCell ref="A241:A242"/>
    <mergeCell ref="A243:A244"/>
    <mergeCell ref="B243:B244"/>
    <mergeCell ref="A275:A279"/>
    <mergeCell ref="B275:B279"/>
    <mergeCell ref="C275:C279"/>
    <mergeCell ref="C243:C244"/>
    <mergeCell ref="C241:C242"/>
    <mergeCell ref="A256:A260"/>
    <mergeCell ref="B256:B260"/>
    <mergeCell ref="A251:A255"/>
    <mergeCell ref="B251:B255"/>
    <mergeCell ref="C256:C260"/>
    <mergeCell ref="C251:C255"/>
    <mergeCell ref="A261:A265"/>
    <mergeCell ref="B261:B265"/>
    <mergeCell ref="C327:C328"/>
    <mergeCell ref="F288:F290"/>
    <mergeCell ref="G288:G290"/>
    <mergeCell ref="D288:D290"/>
    <mergeCell ref="E288:E290"/>
    <mergeCell ref="B327:B328"/>
    <mergeCell ref="A291:A295"/>
    <mergeCell ref="R308:R309"/>
    <mergeCell ref="C261:C265"/>
    <mergeCell ref="W291:W305"/>
    <mergeCell ref="T275:T279"/>
    <mergeCell ref="U275:U279"/>
    <mergeCell ref="V275:V279"/>
    <mergeCell ref="W275:W279"/>
    <mergeCell ref="W266:W270"/>
    <mergeCell ref="W271:W274"/>
    <mergeCell ref="V271:V274"/>
    <mergeCell ref="A327:A328"/>
    <mergeCell ref="N280:O284"/>
    <mergeCell ref="Q280:W284"/>
    <mergeCell ref="C280:C284"/>
    <mergeCell ref="D280:D284"/>
    <mergeCell ref="V285:V286"/>
    <mergeCell ref="N275:N279"/>
    <mergeCell ref="O275:O279"/>
    <mergeCell ref="Q275:Q279"/>
    <mergeCell ref="R275:R279"/>
    <mergeCell ref="A317:A321"/>
    <mergeCell ref="B317:B321"/>
    <mergeCell ref="C317:C321"/>
    <mergeCell ref="A322:A326"/>
    <mergeCell ref="B322:B326"/>
    <mergeCell ref="C322:C326"/>
    <mergeCell ref="B291:B295"/>
    <mergeCell ref="C291:C295"/>
    <mergeCell ref="A296:A300"/>
    <mergeCell ref="B296:B300"/>
    <mergeCell ref="C296:C300"/>
    <mergeCell ref="A301:A305"/>
    <mergeCell ref="B301:B305"/>
    <mergeCell ref="C301:C305"/>
    <mergeCell ref="R266:U270"/>
    <mergeCell ref="N266:O270"/>
    <mergeCell ref="Q266:Q270"/>
    <mergeCell ref="C266:C270"/>
    <mergeCell ref="H13:H14"/>
    <mergeCell ref="V334:V335"/>
    <mergeCell ref="V224:V227"/>
    <mergeCell ref="N178:O185"/>
    <mergeCell ref="Q178:W185"/>
    <mergeCell ref="Q176:Q177"/>
    <mergeCell ref="N176:N177"/>
    <mergeCell ref="T241:T242"/>
    <mergeCell ref="S243:S244"/>
    <mergeCell ref="T243:T244"/>
    <mergeCell ref="T224:T227"/>
    <mergeCell ref="S224:S227"/>
    <mergeCell ref="O202:O208"/>
    <mergeCell ref="O221:O222"/>
    <mergeCell ref="R221:W222"/>
    <mergeCell ref="N221:N222"/>
    <mergeCell ref="Q202:Q208"/>
    <mergeCell ref="O223:O227"/>
    <mergeCell ref="N223:N227"/>
    <mergeCell ref="N241:N242"/>
    <mergeCell ref="W243:W244"/>
    <mergeCell ref="U243:U244"/>
    <mergeCell ref="U193:U196"/>
    <mergeCell ref="W223:W227"/>
    <mergeCell ref="N332:N335"/>
    <mergeCell ref="W161:W163"/>
    <mergeCell ref="W331:W335"/>
    <mergeCell ref="C334:C335"/>
    <mergeCell ref="O334:O335"/>
    <mergeCell ref="Q334:Q335"/>
    <mergeCell ref="R334:R335"/>
    <mergeCell ref="S334:S335"/>
    <mergeCell ref="T334:T335"/>
    <mergeCell ref="U334:U335"/>
    <mergeCell ref="R310:R311"/>
    <mergeCell ref="S310:S311"/>
    <mergeCell ref="T310:T311"/>
    <mergeCell ref="U310:U311"/>
    <mergeCell ref="D310:D311"/>
    <mergeCell ref="E310:E311"/>
    <mergeCell ref="F310:F311"/>
    <mergeCell ref="T289:T290"/>
    <mergeCell ref="I310:I311"/>
    <mergeCell ref="J310:J311"/>
    <mergeCell ref="N261:O265"/>
    <mergeCell ref="Q261:Q265"/>
    <mergeCell ref="R261:U265"/>
    <mergeCell ref="W261:W265"/>
    <mergeCell ref="B5:R5"/>
    <mergeCell ref="B6:R6"/>
    <mergeCell ref="R31:R35"/>
    <mergeCell ref="R36:R40"/>
    <mergeCell ref="R41:R45"/>
    <mergeCell ref="R46:R50"/>
    <mergeCell ref="R51:R54"/>
    <mergeCell ref="O31:O35"/>
    <mergeCell ref="Q36:Q40"/>
    <mergeCell ref="R16:R21"/>
    <mergeCell ref="O22:O24"/>
    <mergeCell ref="Q22:Q24"/>
    <mergeCell ref="O26:O29"/>
    <mergeCell ref="O13:O14"/>
    <mergeCell ref="C13:C14"/>
    <mergeCell ref="D13:D14"/>
    <mergeCell ref="E13:E14"/>
    <mergeCell ref="F13:F14"/>
    <mergeCell ref="I13:I14"/>
    <mergeCell ref="J13:J14"/>
    <mergeCell ref="M13:M14"/>
    <mergeCell ref="Q13:Q14"/>
    <mergeCell ref="Q26:Q29"/>
    <mergeCell ref="C31:C35"/>
    <mergeCell ref="O139:O144"/>
    <mergeCell ref="T151:T156"/>
    <mergeCell ref="N162:N163"/>
    <mergeCell ref="G13:G14"/>
    <mergeCell ref="Q46:Q50"/>
    <mergeCell ref="K13:K14"/>
    <mergeCell ref="L13:L14"/>
    <mergeCell ref="O46:O50"/>
    <mergeCell ref="T162:T163"/>
    <mergeCell ref="S159:S160"/>
    <mergeCell ref="R159:R160"/>
    <mergeCell ref="S133:S138"/>
    <mergeCell ref="O127:O132"/>
    <mergeCell ref="Q91:Q95"/>
    <mergeCell ref="R115:R120"/>
    <mergeCell ref="S13:V13"/>
    <mergeCell ref="V16:V21"/>
    <mergeCell ref="V79:V84"/>
    <mergeCell ref="V162:V163"/>
    <mergeCell ref="Q16:Q21"/>
    <mergeCell ref="O36:O40"/>
    <mergeCell ref="Q31:Q35"/>
    <mergeCell ref="S162:S163"/>
    <mergeCell ref="O71:O74"/>
    <mergeCell ref="C51:C54"/>
    <mergeCell ref="S22:S24"/>
    <mergeCell ref="T22:T24"/>
    <mergeCell ref="B22:B25"/>
    <mergeCell ref="B36:B40"/>
    <mergeCell ref="B46:B50"/>
    <mergeCell ref="O51:O54"/>
    <mergeCell ref="T31:T35"/>
    <mergeCell ref="T36:T40"/>
    <mergeCell ref="T26:T29"/>
    <mergeCell ref="T41:T45"/>
    <mergeCell ref="Q51:Q54"/>
    <mergeCell ref="Q41:Q45"/>
    <mergeCell ref="O41:O45"/>
    <mergeCell ref="S36:S40"/>
    <mergeCell ref="R26:R29"/>
    <mergeCell ref="S26:S29"/>
    <mergeCell ref="C36:C40"/>
    <mergeCell ref="C16:C21"/>
    <mergeCell ref="C22:C25"/>
    <mergeCell ref="C26:C30"/>
    <mergeCell ref="U16:U21"/>
    <mergeCell ref="B356:D356"/>
    <mergeCell ref="Q356:R356"/>
    <mergeCell ref="C85:C90"/>
    <mergeCell ref="C91:C96"/>
    <mergeCell ref="C97:C102"/>
    <mergeCell ref="C103:C108"/>
    <mergeCell ref="C109:C114"/>
    <mergeCell ref="C115:C120"/>
    <mergeCell ref="C121:C126"/>
    <mergeCell ref="C127:C132"/>
    <mergeCell ref="C133:C138"/>
    <mergeCell ref="C139:C144"/>
    <mergeCell ref="C145:C150"/>
    <mergeCell ref="A339:D339"/>
    <mergeCell ref="B133:B138"/>
    <mergeCell ref="B353:D353"/>
    <mergeCell ref="B349:D349"/>
    <mergeCell ref="B350:D350"/>
    <mergeCell ref="B346:D346"/>
    <mergeCell ref="B347:D347"/>
    <mergeCell ref="A16:A21"/>
    <mergeCell ref="B16:B21"/>
    <mergeCell ref="R22:R24"/>
    <mergeCell ref="A334:A335"/>
    <mergeCell ref="B334:B335"/>
    <mergeCell ref="U271:U274"/>
    <mergeCell ref="B271:B274"/>
    <mergeCell ref="Q271:Q274"/>
    <mergeCell ref="R271:R274"/>
    <mergeCell ref="S271:S274"/>
    <mergeCell ref="T271:T274"/>
    <mergeCell ref="Q332:Q333"/>
    <mergeCell ref="B285:B290"/>
    <mergeCell ref="Q285:Q290"/>
    <mergeCell ref="A271:A274"/>
    <mergeCell ref="C285:C290"/>
    <mergeCell ref="C271:C274"/>
    <mergeCell ref="A332:A333"/>
    <mergeCell ref="B332:B333"/>
    <mergeCell ref="H310:H311"/>
    <mergeCell ref="K310:K311"/>
    <mergeCell ref="L310:L311"/>
    <mergeCell ref="O306:O311"/>
    <mergeCell ref="B329:B330"/>
    <mergeCell ref="A162:A163"/>
    <mergeCell ref="B162:B163"/>
    <mergeCell ref="Q162:Q163"/>
    <mergeCell ref="R162:R163"/>
    <mergeCell ref="Q193:Q196"/>
    <mergeCell ref="B91:B96"/>
    <mergeCell ref="B97:B102"/>
    <mergeCell ref="B109:B114"/>
    <mergeCell ref="Q115:Q120"/>
    <mergeCell ref="O121:O126"/>
    <mergeCell ref="O159:O160"/>
    <mergeCell ref="C159:C160"/>
    <mergeCell ref="O97:O102"/>
    <mergeCell ref="Q97:Q102"/>
    <mergeCell ref="O103:O108"/>
    <mergeCell ref="Q103:Q108"/>
    <mergeCell ref="O109:O114"/>
    <mergeCell ref="O115:O120"/>
    <mergeCell ref="A193:A196"/>
    <mergeCell ref="B193:B196"/>
    <mergeCell ref="A176:A177"/>
    <mergeCell ref="R151:R156"/>
    <mergeCell ref="Q151:Q156"/>
    <mergeCell ref="R133:R138"/>
    <mergeCell ref="B351:D351"/>
    <mergeCell ref="R176:R177"/>
    <mergeCell ref="O162:O163"/>
    <mergeCell ref="O176:O177"/>
    <mergeCell ref="O193:O196"/>
    <mergeCell ref="N193:N196"/>
    <mergeCell ref="B176:B177"/>
    <mergeCell ref="B348:D348"/>
    <mergeCell ref="B342:D342"/>
    <mergeCell ref="Q223:Q227"/>
    <mergeCell ref="O241:O242"/>
    <mergeCell ref="O243:O244"/>
    <mergeCell ref="G310:G311"/>
    <mergeCell ref="N306:N311"/>
    <mergeCell ref="R243:R244"/>
    <mergeCell ref="Q241:Q242"/>
    <mergeCell ref="R241:R242"/>
    <mergeCell ref="Q243:Q244"/>
    <mergeCell ref="Q306:Q311"/>
    <mergeCell ref="R202:R208"/>
    <mergeCell ref="C193:C196"/>
    <mergeCell ref="C176:C177"/>
    <mergeCell ref="R193:R196"/>
    <mergeCell ref="C329:C330"/>
    <mergeCell ref="A228:A232"/>
    <mergeCell ref="C228:C232"/>
    <mergeCell ref="A233:A235"/>
    <mergeCell ref="B233:B235"/>
    <mergeCell ref="A237:A238"/>
    <mergeCell ref="B237:B238"/>
    <mergeCell ref="C233:C235"/>
    <mergeCell ref="C237:C238"/>
    <mergeCell ref="B115:B120"/>
    <mergeCell ref="C215:C218"/>
    <mergeCell ref="C209:C212"/>
    <mergeCell ref="A209:A212"/>
    <mergeCell ref="B209:B212"/>
    <mergeCell ref="A215:A218"/>
    <mergeCell ref="A219:A220"/>
    <mergeCell ref="B219:B220"/>
    <mergeCell ref="C219:C220"/>
    <mergeCell ref="A221:A222"/>
    <mergeCell ref="B221:B222"/>
    <mergeCell ref="C221:C222"/>
    <mergeCell ref="B202:B208"/>
    <mergeCell ref="C202:C208"/>
    <mergeCell ref="C213:C214"/>
    <mergeCell ref="B215:B217"/>
    <mergeCell ref="B352:D352"/>
    <mergeCell ref="B121:B126"/>
    <mergeCell ref="B341:D341"/>
    <mergeCell ref="A306:A311"/>
    <mergeCell ref="C306:C311"/>
    <mergeCell ref="C332:C333"/>
    <mergeCell ref="A285:A290"/>
    <mergeCell ref="B340:D340"/>
    <mergeCell ref="A246:A250"/>
    <mergeCell ref="B246:B250"/>
    <mergeCell ref="C246:C250"/>
    <mergeCell ref="A223:A227"/>
    <mergeCell ref="C223:C227"/>
    <mergeCell ref="A202:A208"/>
    <mergeCell ref="B151:B156"/>
    <mergeCell ref="B306:B311"/>
    <mergeCell ref="B127:B132"/>
    <mergeCell ref="B139:B144"/>
    <mergeCell ref="B345:D345"/>
    <mergeCell ref="B343:D343"/>
    <mergeCell ref="B344:D344"/>
    <mergeCell ref="A329:A330"/>
    <mergeCell ref="A213:A214"/>
    <mergeCell ref="B241:B242"/>
    <mergeCell ref="C66:C70"/>
    <mergeCell ref="A85:A160"/>
    <mergeCell ref="O133:O138"/>
    <mergeCell ref="O66:O70"/>
    <mergeCell ref="C151:C156"/>
    <mergeCell ref="Q55:Q59"/>
    <mergeCell ref="C55:C59"/>
    <mergeCell ref="Q85:Q89"/>
    <mergeCell ref="Q121:Q126"/>
    <mergeCell ref="O75:O78"/>
    <mergeCell ref="A79:A84"/>
    <mergeCell ref="O60:O65"/>
    <mergeCell ref="A22:A78"/>
    <mergeCell ref="C46:C50"/>
    <mergeCell ref="C41:C45"/>
    <mergeCell ref="B71:B74"/>
    <mergeCell ref="B145:B150"/>
    <mergeCell ref="B26:B30"/>
    <mergeCell ref="B31:B35"/>
    <mergeCell ref="B41:B45"/>
    <mergeCell ref="B51:B54"/>
    <mergeCell ref="B85:B90"/>
    <mergeCell ref="B103:B108"/>
    <mergeCell ref="O151:O156"/>
    <mergeCell ref="B213:B214"/>
    <mergeCell ref="B223:B227"/>
    <mergeCell ref="B228:B232"/>
    <mergeCell ref="N209:O220"/>
    <mergeCell ref="Q209:W220"/>
    <mergeCell ref="O55:O59"/>
    <mergeCell ref="R75:R78"/>
    <mergeCell ref="R79:R84"/>
    <mergeCell ref="O91:O95"/>
    <mergeCell ref="Q145:Q150"/>
    <mergeCell ref="S151:S156"/>
    <mergeCell ref="C162:C163"/>
    <mergeCell ref="Q159:Q160"/>
    <mergeCell ref="B157:B160"/>
    <mergeCell ref="B55:B59"/>
    <mergeCell ref="B66:B70"/>
    <mergeCell ref="C71:C74"/>
    <mergeCell ref="C79:C84"/>
    <mergeCell ref="B79:B84"/>
    <mergeCell ref="O79:O84"/>
    <mergeCell ref="Q79:Q84"/>
    <mergeCell ref="B75:B78"/>
    <mergeCell ref="C75:C78"/>
    <mergeCell ref="Q66:Q70"/>
    <mergeCell ref="Q60:Q65"/>
    <mergeCell ref="C60:C65"/>
    <mergeCell ref="B60:B65"/>
    <mergeCell ref="Q71:Q74"/>
    <mergeCell ref="R224:R227"/>
    <mergeCell ref="R55:R59"/>
    <mergeCell ref="R60:R65"/>
    <mergeCell ref="T46:T50"/>
    <mergeCell ref="S46:S50"/>
    <mergeCell ref="S145:S150"/>
    <mergeCell ref="T145:T150"/>
    <mergeCell ref="S176:S177"/>
    <mergeCell ref="T176:T177"/>
    <mergeCell ref="S193:S196"/>
    <mergeCell ref="T193:T196"/>
    <mergeCell ref="S202:S208"/>
    <mergeCell ref="T202:T208"/>
    <mergeCell ref="R66:R70"/>
    <mergeCell ref="R71:R74"/>
    <mergeCell ref="T97:T102"/>
    <mergeCell ref="T60:T65"/>
    <mergeCell ref="S66:S70"/>
    <mergeCell ref="T66:T70"/>
    <mergeCell ref="S121:S126"/>
    <mergeCell ref="R13:R14"/>
    <mergeCell ref="S139:S144"/>
    <mergeCell ref="T139:T144"/>
    <mergeCell ref="S41:S45"/>
    <mergeCell ref="O85:O89"/>
    <mergeCell ref="Q139:Q144"/>
    <mergeCell ref="Q133:Q138"/>
    <mergeCell ref="R127:R132"/>
    <mergeCell ref="R121:R126"/>
    <mergeCell ref="S16:S21"/>
    <mergeCell ref="S31:S35"/>
    <mergeCell ref="S60:S65"/>
    <mergeCell ref="R97:R102"/>
    <mergeCell ref="R103:R108"/>
    <mergeCell ref="R109:R114"/>
    <mergeCell ref="S91:S95"/>
    <mergeCell ref="S109:S114"/>
    <mergeCell ref="R85:R89"/>
    <mergeCell ref="R91:R95"/>
    <mergeCell ref="T16:T21"/>
    <mergeCell ref="S97:S102"/>
    <mergeCell ref="Q127:Q132"/>
    <mergeCell ref="Q109:Q114"/>
    <mergeCell ref="Q75:Q78"/>
    <mergeCell ref="O16:O21"/>
    <mergeCell ref="U145:U150"/>
    <mergeCell ref="R139:R144"/>
    <mergeCell ref="R145:R150"/>
    <mergeCell ref="T133:T138"/>
    <mergeCell ref="U133:U138"/>
    <mergeCell ref="T51:T54"/>
    <mergeCell ref="U51:U54"/>
    <mergeCell ref="S51:S54"/>
    <mergeCell ref="S79:S84"/>
    <mergeCell ref="S75:S78"/>
    <mergeCell ref="T85:T89"/>
    <mergeCell ref="T91:T95"/>
    <mergeCell ref="T71:T74"/>
    <mergeCell ref="T121:T126"/>
    <mergeCell ref="T109:T114"/>
    <mergeCell ref="S115:S120"/>
    <mergeCell ref="T115:T120"/>
    <mergeCell ref="S85:S89"/>
    <mergeCell ref="T103:T108"/>
    <mergeCell ref="S127:S132"/>
    <mergeCell ref="S103:S108"/>
    <mergeCell ref="U22:U24"/>
    <mergeCell ref="U26:U29"/>
    <mergeCell ref="W246:W250"/>
    <mergeCell ref="U85:U89"/>
    <mergeCell ref="U91:U95"/>
    <mergeCell ref="U103:U108"/>
    <mergeCell ref="U109:U114"/>
    <mergeCell ref="U97:U102"/>
    <mergeCell ref="U162:U163"/>
    <mergeCell ref="U139:U144"/>
    <mergeCell ref="W15:W160"/>
    <mergeCell ref="V202:V208"/>
    <mergeCell ref="V193:V196"/>
    <mergeCell ref="V176:V177"/>
    <mergeCell ref="V243:V244"/>
    <mergeCell ref="V241:V242"/>
    <mergeCell ref="V246:V250"/>
    <mergeCell ref="U31:U35"/>
    <mergeCell ref="U36:U40"/>
    <mergeCell ref="U176:U177"/>
    <mergeCell ref="R251:U255"/>
    <mergeCell ref="W251:W255"/>
    <mergeCell ref="S71:S74"/>
    <mergeCell ref="U159:U160"/>
    <mergeCell ref="W193:W196"/>
    <mergeCell ref="U75:U78"/>
    <mergeCell ref="T127:T132"/>
    <mergeCell ref="U127:U132"/>
    <mergeCell ref="S55:S59"/>
    <mergeCell ref="T55:T59"/>
    <mergeCell ref="U55:U59"/>
    <mergeCell ref="U115:U120"/>
    <mergeCell ref="U121:U126"/>
    <mergeCell ref="U60:U65"/>
    <mergeCell ref="U66:U70"/>
    <mergeCell ref="T75:T78"/>
    <mergeCell ref="T79:T84"/>
    <mergeCell ref="U79:U84"/>
    <mergeCell ref="U71:U74"/>
    <mergeCell ref="T159:T160"/>
    <mergeCell ref="U246:U250"/>
    <mergeCell ref="U202:U208"/>
    <mergeCell ref="U241:U242"/>
    <mergeCell ref="U224:U227"/>
    <mergeCell ref="U308:U309"/>
    <mergeCell ref="V308:V309"/>
    <mergeCell ref="W13:W14"/>
    <mergeCell ref="U41:U45"/>
    <mergeCell ref="U46:U50"/>
    <mergeCell ref="N329:N330"/>
    <mergeCell ref="O329:O330"/>
    <mergeCell ref="W327:W330"/>
    <mergeCell ref="N327:N328"/>
    <mergeCell ref="O327:O328"/>
    <mergeCell ref="Q327:Q328"/>
    <mergeCell ref="R327:R328"/>
    <mergeCell ref="Q329:Q330"/>
    <mergeCell ref="R329:R330"/>
    <mergeCell ref="S329:S330"/>
    <mergeCell ref="V327:V328"/>
    <mergeCell ref="V329:V330"/>
    <mergeCell ref="T329:T330"/>
    <mergeCell ref="U329:U330"/>
    <mergeCell ref="O145:O150"/>
    <mergeCell ref="U151:U156"/>
    <mergeCell ref="R246:R250"/>
    <mergeCell ref="Q246:Q250"/>
    <mergeCell ref="O246:O250"/>
    <mergeCell ref="N243:N244"/>
    <mergeCell ref="S246:S250"/>
    <mergeCell ref="T246:T250"/>
    <mergeCell ref="R332:R333"/>
    <mergeCell ref="S332:S333"/>
    <mergeCell ref="T332:T333"/>
    <mergeCell ref="U332:U333"/>
    <mergeCell ref="W285:W290"/>
    <mergeCell ref="W306:W311"/>
    <mergeCell ref="O332:O333"/>
    <mergeCell ref="U327:U328"/>
    <mergeCell ref="O271:O274"/>
    <mergeCell ref="V310:V311"/>
    <mergeCell ref="V289:V290"/>
    <mergeCell ref="V332:V333"/>
    <mergeCell ref="U289:U290"/>
    <mergeCell ref="Q312:U326"/>
    <mergeCell ref="W312:W326"/>
    <mergeCell ref="R306:R307"/>
    <mergeCell ref="T306:T307"/>
    <mergeCell ref="U306:U307"/>
    <mergeCell ref="V306:V307"/>
    <mergeCell ref="N312:O326"/>
    <mergeCell ref="T308:T309"/>
    <mergeCell ref="B4:O4"/>
    <mergeCell ref="B7:O7"/>
    <mergeCell ref="C9:O9"/>
    <mergeCell ref="A2:W2"/>
    <mergeCell ref="A10:O10"/>
    <mergeCell ref="S241:S242"/>
    <mergeCell ref="N202:N208"/>
    <mergeCell ref="W202:W208"/>
    <mergeCell ref="Q12:T12"/>
    <mergeCell ref="A13:A14"/>
    <mergeCell ref="B13:B14"/>
    <mergeCell ref="N16:N84"/>
    <mergeCell ref="P13:P333"/>
    <mergeCell ref="N13:N14"/>
    <mergeCell ref="N246:N250"/>
    <mergeCell ref="N271:N274"/>
    <mergeCell ref="N285:N290"/>
    <mergeCell ref="S327:S328"/>
    <mergeCell ref="T327:T328"/>
    <mergeCell ref="M310:M311"/>
    <mergeCell ref="B169:B171"/>
    <mergeCell ref="J288:J290"/>
    <mergeCell ref="M288:M290"/>
    <mergeCell ref="W241:W242"/>
  </mergeCells>
  <phoneticPr fontId="18" type="noConversion"/>
  <conditionalFormatting sqref="I13:J13">
    <cfRule type="dataBar" priority="4">
      <dataBar>
        <cfvo type="min"/>
        <cfvo type="max"/>
        <color rgb="FF638EC6"/>
      </dataBar>
      <extLst>
        <ext xmlns:x14="http://schemas.microsoft.com/office/spreadsheetml/2009/9/main" uri="{B025F937-C7B1-47D3-B67F-A62EFF666E3E}">
          <x14:id>{9F902BFA-D04A-46AF-BA2C-B6E0C4DEBF18}</x14:id>
        </ext>
      </extLst>
    </cfRule>
  </conditionalFormatting>
  <conditionalFormatting sqref="J14">
    <cfRule type="dataBar" priority="3">
      <dataBar>
        <cfvo type="min"/>
        <cfvo type="max"/>
        <color rgb="FF638EC6"/>
      </dataBar>
      <extLst>
        <ext xmlns:x14="http://schemas.microsoft.com/office/spreadsheetml/2009/9/main" uri="{B025F937-C7B1-47D3-B67F-A62EFF666E3E}">
          <x14:id>{7CA4CB81-BE9E-4961-A9F8-EF21686C645F}</x14:id>
        </ext>
      </extLst>
    </cfRule>
  </conditionalFormatting>
  <conditionalFormatting sqref="K13:L13">
    <cfRule type="dataBar" priority="20">
      <dataBar>
        <cfvo type="min"/>
        <cfvo type="max"/>
        <color rgb="FF638EC6"/>
      </dataBar>
      <extLst>
        <ext xmlns:x14="http://schemas.microsoft.com/office/spreadsheetml/2009/9/main" uri="{B025F937-C7B1-47D3-B67F-A62EFF666E3E}">
          <x14:id>{E92BB977-6C28-457E-9863-F2BDD86BDC4D}</x14:id>
        </ext>
      </extLst>
    </cfRule>
  </conditionalFormatting>
  <conditionalFormatting sqref="K14:L14">
    <cfRule type="dataBar" priority="21">
      <dataBar>
        <cfvo type="min"/>
        <cfvo type="max"/>
        <color rgb="FF638EC6"/>
      </dataBar>
      <extLst>
        <ext xmlns:x14="http://schemas.microsoft.com/office/spreadsheetml/2009/9/main" uri="{B025F937-C7B1-47D3-B67F-A62EFF666E3E}">
          <x14:id>{C8F59F70-AC7A-41E3-A977-EA01C1B7A55E}</x14:id>
        </ext>
      </extLst>
    </cfRule>
  </conditionalFormatting>
  <conditionalFormatting sqref="M13">
    <cfRule type="dataBar" priority="2">
      <dataBar>
        <cfvo type="min"/>
        <cfvo type="max"/>
        <color rgb="FF638EC6"/>
      </dataBar>
      <extLst>
        <ext xmlns:x14="http://schemas.microsoft.com/office/spreadsheetml/2009/9/main" uri="{B025F937-C7B1-47D3-B67F-A62EFF666E3E}">
          <x14:id>{AA4F37F0-22E4-413A-81DC-80AF30CD71B0}</x14:id>
        </ext>
      </extLst>
    </cfRule>
  </conditionalFormatting>
  <conditionalFormatting sqref="M14">
    <cfRule type="dataBar" priority="1">
      <dataBar>
        <cfvo type="min"/>
        <cfvo type="max"/>
        <color rgb="FF638EC6"/>
      </dataBar>
      <extLst>
        <ext xmlns:x14="http://schemas.microsoft.com/office/spreadsheetml/2009/9/main" uri="{B025F937-C7B1-47D3-B67F-A62EFF666E3E}">
          <x14:id>{133EDE52-309A-4398-BF69-558F7BE79B8A}</x14:id>
        </ext>
      </extLst>
    </cfRule>
  </conditionalFormatting>
  <conditionalFormatting sqref="O13:P13 E13:G13 G14 H13:H14">
    <cfRule type="dataBar" priority="15">
      <dataBar>
        <cfvo type="min"/>
        <cfvo type="max"/>
        <color rgb="FF638EC6"/>
      </dataBar>
      <extLst>
        <ext xmlns:x14="http://schemas.microsoft.com/office/spreadsheetml/2009/9/main" uri="{B025F937-C7B1-47D3-B67F-A62EFF666E3E}">
          <x14:id>{654189B1-5C4A-46ED-92D1-B4850105B7BD}</x14:id>
        </ext>
      </extLst>
    </cfRule>
  </conditionalFormatting>
  <pageMargins left="0.70866141732283472" right="0.70866141732283472" top="0.74803149606299213" bottom="0.74803149606299213" header="0.31496062992125984" footer="0.31496062992125984"/>
  <pageSetup paperSize="8" scale="51" fitToHeight="0" pageOrder="overThenDown" orientation="landscape" r:id="rId1"/>
  <legacyDrawing r:id="rId2"/>
  <extLst>
    <ext xmlns:x14="http://schemas.microsoft.com/office/spreadsheetml/2009/9/main" uri="{78C0D931-6437-407d-A8EE-F0AAD7539E65}">
      <x14:conditionalFormattings>
        <x14:conditionalFormatting xmlns:xm="http://schemas.microsoft.com/office/excel/2006/main">
          <x14:cfRule type="dataBar" id="{9F902BFA-D04A-46AF-BA2C-B6E0C4DEBF18}">
            <x14:dataBar minLength="0" maxLength="100" border="1" negativeBarBorderColorSameAsPositive="0">
              <x14:cfvo type="autoMin"/>
              <x14:cfvo type="autoMax"/>
              <x14:borderColor rgb="FF638EC6"/>
              <x14:negativeFillColor rgb="FFFF0000"/>
              <x14:negativeBorderColor rgb="FFFF0000"/>
              <x14:axisColor rgb="FF000000"/>
            </x14:dataBar>
          </x14:cfRule>
          <xm:sqref>I13:J13</xm:sqref>
        </x14:conditionalFormatting>
        <x14:conditionalFormatting xmlns:xm="http://schemas.microsoft.com/office/excel/2006/main">
          <x14:cfRule type="dataBar" id="{7CA4CB81-BE9E-4961-A9F8-EF21686C645F}">
            <x14:dataBar minLength="0" maxLength="100" border="1" negativeBarBorderColorSameAsPositive="0">
              <x14:cfvo type="autoMin"/>
              <x14:cfvo type="autoMax"/>
              <x14:borderColor rgb="FF638EC6"/>
              <x14:negativeFillColor rgb="FFFF0000"/>
              <x14:negativeBorderColor rgb="FFFF0000"/>
              <x14:axisColor rgb="FF000000"/>
            </x14:dataBar>
          </x14:cfRule>
          <xm:sqref>J14</xm:sqref>
        </x14:conditionalFormatting>
        <x14:conditionalFormatting xmlns:xm="http://schemas.microsoft.com/office/excel/2006/main">
          <x14:cfRule type="dataBar" id="{E92BB977-6C28-457E-9863-F2BDD86BDC4D}">
            <x14:dataBar minLength="0" maxLength="100" border="1" negativeBarBorderColorSameAsPositive="0">
              <x14:cfvo type="autoMin"/>
              <x14:cfvo type="autoMax"/>
              <x14:borderColor rgb="FF638EC6"/>
              <x14:negativeFillColor rgb="FFFF0000"/>
              <x14:negativeBorderColor rgb="FFFF0000"/>
              <x14:axisColor rgb="FF000000"/>
            </x14:dataBar>
          </x14:cfRule>
          <xm:sqref>K13:L13</xm:sqref>
        </x14:conditionalFormatting>
        <x14:conditionalFormatting xmlns:xm="http://schemas.microsoft.com/office/excel/2006/main">
          <x14:cfRule type="dataBar" id="{C8F59F70-AC7A-41E3-A977-EA01C1B7A55E}">
            <x14:dataBar minLength="0" maxLength="100" border="1" negativeBarBorderColorSameAsPositive="0">
              <x14:cfvo type="autoMin"/>
              <x14:cfvo type="autoMax"/>
              <x14:borderColor rgb="FF638EC6"/>
              <x14:negativeFillColor rgb="FFFF0000"/>
              <x14:negativeBorderColor rgb="FFFF0000"/>
              <x14:axisColor rgb="FF000000"/>
            </x14:dataBar>
          </x14:cfRule>
          <xm:sqref>K14:L14</xm:sqref>
        </x14:conditionalFormatting>
        <x14:conditionalFormatting xmlns:xm="http://schemas.microsoft.com/office/excel/2006/main">
          <x14:cfRule type="dataBar" id="{AA4F37F0-22E4-413A-81DC-80AF30CD71B0}">
            <x14:dataBar minLength="0" maxLength="100" border="1" negativeBarBorderColorSameAsPositive="0">
              <x14:cfvo type="autoMin"/>
              <x14:cfvo type="autoMax"/>
              <x14:borderColor rgb="FF638EC6"/>
              <x14:negativeFillColor rgb="FFFF0000"/>
              <x14:negativeBorderColor rgb="FFFF0000"/>
              <x14:axisColor rgb="FF000000"/>
            </x14:dataBar>
          </x14:cfRule>
          <xm:sqref>M13</xm:sqref>
        </x14:conditionalFormatting>
        <x14:conditionalFormatting xmlns:xm="http://schemas.microsoft.com/office/excel/2006/main">
          <x14:cfRule type="dataBar" id="{133EDE52-309A-4398-BF69-558F7BE79B8A}">
            <x14:dataBar minLength="0" maxLength="100" border="1" negativeBarBorderColorSameAsPositive="0">
              <x14:cfvo type="autoMin"/>
              <x14:cfvo type="autoMax"/>
              <x14:borderColor rgb="FF638EC6"/>
              <x14:negativeFillColor rgb="FFFF0000"/>
              <x14:negativeBorderColor rgb="FFFF0000"/>
              <x14:axisColor rgb="FF000000"/>
            </x14:dataBar>
          </x14:cfRule>
          <xm:sqref>M14</xm:sqref>
        </x14:conditionalFormatting>
        <x14:conditionalFormatting xmlns:xm="http://schemas.microsoft.com/office/excel/2006/main">
          <x14:cfRule type="dataBar" id="{654189B1-5C4A-46ED-92D1-B4850105B7BD}">
            <x14:dataBar minLength="0" maxLength="100" border="1" negativeBarBorderColorSameAsPositive="0">
              <x14:cfvo type="autoMin"/>
              <x14:cfvo type="autoMax"/>
              <x14:borderColor rgb="FF638EC6"/>
              <x14:negativeFillColor rgb="FFFF0000"/>
              <x14:negativeBorderColor rgb="FFFF0000"/>
              <x14:axisColor rgb="FF000000"/>
            </x14:dataBar>
          </x14:cfRule>
          <xm:sqref>O13:P13 E13:G13 G14 H13:H14</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7E3DF-58E4-4084-942B-E33220C0A008}">
  <sheetPr>
    <pageSetUpPr fitToPage="1"/>
  </sheetPr>
  <dimension ref="A2:P55"/>
  <sheetViews>
    <sheetView zoomScale="93" zoomScaleNormal="93" zoomScaleSheetLayoutView="89" workbookViewId="0">
      <selection activeCell="Z20" sqref="Z20"/>
    </sheetView>
  </sheetViews>
  <sheetFormatPr defaultRowHeight="12.75"/>
  <cols>
    <col min="1" max="1" width="7.28515625" customWidth="1"/>
    <col min="2" max="2" width="35.28515625" customWidth="1"/>
    <col min="3" max="3" width="15.28515625" customWidth="1"/>
    <col min="4" max="4" width="18.28515625" customWidth="1"/>
    <col min="5" max="5" width="14.28515625" customWidth="1"/>
    <col min="6" max="6" width="14.85546875" customWidth="1"/>
    <col min="7" max="7" width="16.5703125" customWidth="1"/>
    <col min="8" max="8" width="15.5703125" customWidth="1"/>
    <col min="9" max="9" width="32.140625" customWidth="1"/>
  </cols>
  <sheetData>
    <row r="2" spans="1:16" ht="33" customHeight="1">
      <c r="A2" s="2679" t="s">
        <v>3679</v>
      </c>
      <c r="B2" s="2679"/>
      <c r="C2" s="2679"/>
      <c r="D2" s="2679"/>
      <c r="E2" s="2679"/>
      <c r="F2" s="2679"/>
      <c r="G2" s="2679"/>
      <c r="H2" s="2679"/>
      <c r="I2" s="2679"/>
      <c r="J2" s="185"/>
      <c r="K2" s="185"/>
      <c r="L2" s="185"/>
      <c r="M2" s="185"/>
      <c r="N2" s="185"/>
      <c r="O2" s="185"/>
      <c r="P2" s="185"/>
    </row>
    <row r="3" spans="1:16" ht="26.25" customHeight="1"/>
    <row r="4" spans="1:16" ht="63" customHeight="1">
      <c r="A4" s="188" t="s">
        <v>720</v>
      </c>
      <c r="B4" s="188" t="s">
        <v>1852</v>
      </c>
      <c r="C4" s="188" t="s">
        <v>1853</v>
      </c>
      <c r="D4" s="188" t="s">
        <v>2664</v>
      </c>
      <c r="E4" s="188" t="s">
        <v>3675</v>
      </c>
      <c r="F4" s="188" t="s">
        <v>3676</v>
      </c>
      <c r="G4" s="188" t="s">
        <v>3677</v>
      </c>
      <c r="H4" s="188" t="s">
        <v>3678</v>
      </c>
      <c r="I4" s="188" t="s">
        <v>1854</v>
      </c>
    </row>
    <row r="5" spans="1:16">
      <c r="A5" s="189" t="s">
        <v>736</v>
      </c>
      <c r="B5" s="189" t="s">
        <v>1855</v>
      </c>
      <c r="C5" s="189"/>
      <c r="D5" s="189"/>
      <c r="E5" s="189"/>
      <c r="F5" s="189"/>
      <c r="G5" s="189"/>
      <c r="H5" s="189"/>
      <c r="I5" s="189"/>
    </row>
    <row r="6" spans="1:16" ht="24">
      <c r="A6" s="187" t="s">
        <v>775</v>
      </c>
      <c r="B6" s="187" t="s">
        <v>1856</v>
      </c>
      <c r="C6" s="187" t="s">
        <v>1857</v>
      </c>
      <c r="D6" s="187" t="s">
        <v>2665</v>
      </c>
      <c r="E6" s="187">
        <v>115</v>
      </c>
      <c r="F6" s="187">
        <v>115</v>
      </c>
      <c r="G6" s="187">
        <v>115</v>
      </c>
      <c r="H6" s="187">
        <v>115</v>
      </c>
      <c r="I6" s="187" t="s">
        <v>3364</v>
      </c>
    </row>
    <row r="7" spans="1:16">
      <c r="A7" s="189" t="s">
        <v>789</v>
      </c>
      <c r="B7" s="2488" t="s">
        <v>1859</v>
      </c>
      <c r="C7" s="2488"/>
      <c r="D7" s="2488"/>
      <c r="E7" s="2488"/>
      <c r="F7" s="2488"/>
      <c r="G7" s="2488"/>
      <c r="H7" s="2488"/>
      <c r="I7" s="2488"/>
    </row>
    <row r="8" spans="1:16" ht="24">
      <c r="A8" s="187" t="s">
        <v>1860</v>
      </c>
      <c r="B8" s="187" t="s">
        <v>1861</v>
      </c>
      <c r="C8" s="187" t="s">
        <v>1862</v>
      </c>
      <c r="D8" s="187">
        <v>115</v>
      </c>
      <c r="E8" s="187">
        <v>112</v>
      </c>
      <c r="F8" s="187">
        <v>110</v>
      </c>
      <c r="G8" s="187">
        <v>110</v>
      </c>
      <c r="H8" s="187">
        <v>110</v>
      </c>
      <c r="I8" s="187" t="s">
        <v>1863</v>
      </c>
    </row>
    <row r="9" spans="1:16" ht="24">
      <c r="A9" s="187" t="s">
        <v>1864</v>
      </c>
      <c r="B9" s="187" t="s">
        <v>1865</v>
      </c>
      <c r="C9" s="187" t="s">
        <v>1862</v>
      </c>
      <c r="D9" s="187">
        <v>189</v>
      </c>
      <c r="E9" s="187">
        <v>185</v>
      </c>
      <c r="F9" s="187">
        <v>180</v>
      </c>
      <c r="G9" s="187">
        <v>180</v>
      </c>
      <c r="H9" s="187">
        <v>180</v>
      </c>
      <c r="I9" s="187" t="s">
        <v>1863</v>
      </c>
    </row>
    <row r="10" spans="1:16" ht="24">
      <c r="A10" s="187" t="s">
        <v>1866</v>
      </c>
      <c r="B10" s="187" t="s">
        <v>1867</v>
      </c>
      <c r="C10" s="187" t="s">
        <v>1862</v>
      </c>
      <c r="D10" s="187">
        <v>443</v>
      </c>
      <c r="E10" s="187">
        <v>430</v>
      </c>
      <c r="F10" s="187">
        <v>425</v>
      </c>
      <c r="G10" s="187">
        <v>425</v>
      </c>
      <c r="H10" s="187">
        <v>425</v>
      </c>
      <c r="I10" s="187" t="s">
        <v>1863</v>
      </c>
    </row>
    <row r="11" spans="1:16" ht="24">
      <c r="A11" s="187" t="s">
        <v>1868</v>
      </c>
      <c r="B11" s="187" t="s">
        <v>1869</v>
      </c>
      <c r="C11" s="187" t="s">
        <v>1862</v>
      </c>
      <c r="D11" s="187">
        <v>106</v>
      </c>
      <c r="E11" s="187">
        <v>105</v>
      </c>
      <c r="F11" s="187">
        <v>108</v>
      </c>
      <c r="G11" s="187">
        <v>110</v>
      </c>
      <c r="H11" s="187">
        <v>110</v>
      </c>
      <c r="I11" s="187" t="s">
        <v>1870</v>
      </c>
    </row>
    <row r="12" spans="1:16">
      <c r="A12" s="189" t="s">
        <v>790</v>
      </c>
      <c r="B12" s="2680" t="s">
        <v>1871</v>
      </c>
      <c r="C12" s="2680"/>
      <c r="D12" s="2680"/>
      <c r="E12" s="2680"/>
      <c r="F12" s="2680"/>
      <c r="G12" s="2680"/>
      <c r="H12" s="2680"/>
      <c r="I12" s="2680"/>
    </row>
    <row r="13" spans="1:16" ht="43.5" customHeight="1">
      <c r="A13" s="187" t="s">
        <v>1872</v>
      </c>
      <c r="B13" s="187" t="s">
        <v>1837</v>
      </c>
      <c r="C13" s="187" t="s">
        <v>1873</v>
      </c>
      <c r="D13" s="187">
        <v>36</v>
      </c>
      <c r="E13" s="187">
        <v>42</v>
      </c>
      <c r="F13" s="187">
        <v>38</v>
      </c>
      <c r="G13" s="187">
        <v>40</v>
      </c>
      <c r="H13" s="187">
        <v>40</v>
      </c>
      <c r="I13" s="187" t="s">
        <v>1874</v>
      </c>
    </row>
    <row r="14" spans="1:16" ht="24">
      <c r="A14" s="187" t="s">
        <v>1875</v>
      </c>
      <c r="B14" s="187" t="s">
        <v>1843</v>
      </c>
      <c r="C14" s="187" t="s">
        <v>1873</v>
      </c>
      <c r="D14" s="187">
        <v>26</v>
      </c>
      <c r="E14" s="187">
        <v>32</v>
      </c>
      <c r="F14" s="187">
        <v>28</v>
      </c>
      <c r="G14" s="187">
        <v>29</v>
      </c>
      <c r="H14" s="187">
        <v>30</v>
      </c>
      <c r="I14" s="187" t="s">
        <v>1876</v>
      </c>
    </row>
    <row r="15" spans="1:16" ht="24">
      <c r="A15" s="187" t="s">
        <v>1877</v>
      </c>
      <c r="B15" s="187" t="s">
        <v>1838</v>
      </c>
      <c r="C15" s="187" t="s">
        <v>1873</v>
      </c>
      <c r="D15" s="187">
        <v>1931</v>
      </c>
      <c r="E15" s="187">
        <v>1919</v>
      </c>
      <c r="F15" s="187">
        <v>1930</v>
      </c>
      <c r="G15" s="187">
        <v>1930</v>
      </c>
      <c r="H15" s="187">
        <v>1930</v>
      </c>
      <c r="I15" s="187" t="s">
        <v>1878</v>
      </c>
    </row>
    <row r="16" spans="1:16" ht="24">
      <c r="A16" s="187" t="s">
        <v>1879</v>
      </c>
      <c r="B16" s="187" t="s">
        <v>1839</v>
      </c>
      <c r="C16" s="187" t="s">
        <v>1873</v>
      </c>
      <c r="D16" s="187">
        <v>759</v>
      </c>
      <c r="E16" s="187">
        <v>668</v>
      </c>
      <c r="F16" s="187">
        <v>700</v>
      </c>
      <c r="G16" s="187">
        <v>700</v>
      </c>
      <c r="H16" s="187">
        <v>700</v>
      </c>
      <c r="I16" s="187" t="s">
        <v>1880</v>
      </c>
    </row>
    <row r="17" spans="1:9" ht="24">
      <c r="A17" s="187" t="s">
        <v>1881</v>
      </c>
      <c r="B17" s="187" t="s">
        <v>1840</v>
      </c>
      <c r="C17" s="187" t="s">
        <v>1862</v>
      </c>
      <c r="D17" s="187">
        <v>2263</v>
      </c>
      <c r="E17" s="187">
        <v>2053</v>
      </c>
      <c r="F17" s="187">
        <v>2100</v>
      </c>
      <c r="G17" s="187">
        <v>2150</v>
      </c>
      <c r="H17" s="187">
        <v>2150</v>
      </c>
      <c r="I17" s="187" t="s">
        <v>1882</v>
      </c>
    </row>
    <row r="18" spans="1:9" ht="24">
      <c r="A18" s="187" t="s">
        <v>1883</v>
      </c>
      <c r="B18" s="190" t="s">
        <v>1844</v>
      </c>
      <c r="C18" s="190" t="s">
        <v>1862</v>
      </c>
      <c r="D18" s="190">
        <v>10.5</v>
      </c>
      <c r="E18" s="190">
        <v>10.5</v>
      </c>
      <c r="F18" s="190">
        <v>10.5</v>
      </c>
      <c r="G18" s="190">
        <v>10.6</v>
      </c>
      <c r="H18" s="190">
        <v>10.6</v>
      </c>
      <c r="I18" s="190" t="s">
        <v>1884</v>
      </c>
    </row>
    <row r="19" spans="1:9" ht="46.9" customHeight="1">
      <c r="A19" s="187" t="s">
        <v>1885</v>
      </c>
      <c r="B19" s="187" t="s">
        <v>1845</v>
      </c>
      <c r="C19" s="187" t="s">
        <v>1873</v>
      </c>
      <c r="D19" s="187">
        <v>0</v>
      </c>
      <c r="E19" s="187">
        <v>0</v>
      </c>
      <c r="F19" s="187">
        <v>0</v>
      </c>
      <c r="G19" s="187">
        <v>0</v>
      </c>
      <c r="H19" s="187">
        <v>0</v>
      </c>
      <c r="I19" s="187" t="s">
        <v>1880</v>
      </c>
    </row>
    <row r="20" spans="1:9" ht="48">
      <c r="A20" s="187" t="s">
        <v>1887</v>
      </c>
      <c r="B20" s="187" t="s">
        <v>1846</v>
      </c>
      <c r="C20" s="187" t="s">
        <v>1873</v>
      </c>
      <c r="D20" s="187">
        <v>0</v>
      </c>
      <c r="E20" s="187">
        <v>0</v>
      </c>
      <c r="F20" s="187">
        <v>0</v>
      </c>
      <c r="G20" s="187">
        <v>0</v>
      </c>
      <c r="H20" s="187">
        <v>0</v>
      </c>
      <c r="I20" s="187" t="s">
        <v>1880</v>
      </c>
    </row>
    <row r="21" spans="1:9" ht="48">
      <c r="A21" s="187" t="s">
        <v>1888</v>
      </c>
      <c r="B21" s="187" t="s">
        <v>1847</v>
      </c>
      <c r="C21" s="187" t="s">
        <v>1873</v>
      </c>
      <c r="D21" s="187">
        <v>0</v>
      </c>
      <c r="E21" s="187">
        <v>0</v>
      </c>
      <c r="F21" s="187">
        <v>0</v>
      </c>
      <c r="G21" s="187">
        <v>0</v>
      </c>
      <c r="H21" s="187">
        <v>0</v>
      </c>
      <c r="I21" s="187" t="s">
        <v>1880</v>
      </c>
    </row>
    <row r="22" spans="1:9" ht="72">
      <c r="A22" s="187" t="s">
        <v>1889</v>
      </c>
      <c r="B22" s="187" t="s">
        <v>1848</v>
      </c>
      <c r="C22" s="187" t="s">
        <v>1873</v>
      </c>
      <c r="D22" s="187">
        <v>0</v>
      </c>
      <c r="E22" s="187">
        <v>0</v>
      </c>
      <c r="F22" s="187">
        <v>0</v>
      </c>
      <c r="G22" s="187">
        <v>0</v>
      </c>
      <c r="H22" s="187">
        <v>0</v>
      </c>
      <c r="I22" s="187" t="s">
        <v>1880</v>
      </c>
    </row>
    <row r="23" spans="1:9">
      <c r="A23" s="189" t="s">
        <v>1763</v>
      </c>
      <c r="B23" s="2680" t="s">
        <v>1890</v>
      </c>
      <c r="C23" s="2680"/>
      <c r="D23" s="2680"/>
      <c r="E23" s="2680"/>
      <c r="F23" s="2680"/>
      <c r="G23" s="2680"/>
      <c r="H23" s="2680"/>
      <c r="I23" s="2680"/>
    </row>
    <row r="24" spans="1:9" ht="36">
      <c r="A24" s="187" t="s">
        <v>1891</v>
      </c>
      <c r="B24" s="187" t="s">
        <v>2795</v>
      </c>
      <c r="C24" s="2564" t="s">
        <v>1862</v>
      </c>
      <c r="D24" s="190" t="s">
        <v>2796</v>
      </c>
      <c r="E24" s="2681" t="s">
        <v>3365</v>
      </c>
      <c r="F24" s="190" t="s">
        <v>2798</v>
      </c>
      <c r="G24" s="190" t="s">
        <v>2799</v>
      </c>
      <c r="H24" s="190" t="s">
        <v>2799</v>
      </c>
      <c r="I24" s="2564" t="s">
        <v>1892</v>
      </c>
    </row>
    <row r="25" spans="1:9">
      <c r="A25" s="187" t="s">
        <v>1893</v>
      </c>
      <c r="B25" s="187" t="s">
        <v>1849</v>
      </c>
      <c r="C25" s="2564"/>
      <c r="D25" s="190" t="s">
        <v>2800</v>
      </c>
      <c r="E25" s="2682"/>
      <c r="F25" s="190" t="s">
        <v>2802</v>
      </c>
      <c r="G25" s="190" t="s">
        <v>2797</v>
      </c>
      <c r="H25" s="190" t="s">
        <v>2797</v>
      </c>
      <c r="I25" s="2564"/>
    </row>
    <row r="26" spans="1:9">
      <c r="A26" s="187" t="s">
        <v>1894</v>
      </c>
      <c r="B26" s="187" t="s">
        <v>1850</v>
      </c>
      <c r="C26" s="2564"/>
      <c r="D26" s="190" t="s">
        <v>2803</v>
      </c>
      <c r="E26" s="2682"/>
      <c r="F26" s="190" t="s">
        <v>2804</v>
      </c>
      <c r="G26" s="190" t="s">
        <v>2801</v>
      </c>
      <c r="H26" s="190" t="s">
        <v>2801</v>
      </c>
      <c r="I26" s="2564"/>
    </row>
    <row r="27" spans="1:9">
      <c r="A27" s="187" t="s">
        <v>1895</v>
      </c>
      <c r="B27" s="187" t="s">
        <v>1851</v>
      </c>
      <c r="C27" s="2564"/>
      <c r="D27" s="190" t="s">
        <v>2805</v>
      </c>
      <c r="E27" s="2683"/>
      <c r="F27" s="190" t="s">
        <v>2806</v>
      </c>
      <c r="G27" s="190" t="s">
        <v>2807</v>
      </c>
      <c r="H27" s="190" t="s">
        <v>2807</v>
      </c>
      <c r="I27" s="2564"/>
    </row>
    <row r="28" spans="1:9" ht="24" customHeight="1">
      <c r="A28" s="187" t="s">
        <v>1896</v>
      </c>
      <c r="B28" s="191" t="s">
        <v>1897</v>
      </c>
      <c r="C28" s="2689" t="s">
        <v>1862</v>
      </c>
      <c r="D28" s="190"/>
      <c r="E28" s="2681" t="s">
        <v>3366</v>
      </c>
      <c r="F28" s="190"/>
      <c r="G28" s="190"/>
      <c r="H28" s="190"/>
      <c r="I28" s="2564" t="s">
        <v>1880</v>
      </c>
    </row>
    <row r="29" spans="1:9" ht="12.75" customHeight="1">
      <c r="A29" s="187" t="s">
        <v>1898</v>
      </c>
      <c r="B29" s="191" t="s">
        <v>1849</v>
      </c>
      <c r="C29" s="2689"/>
      <c r="D29" s="190" t="s">
        <v>2808</v>
      </c>
      <c r="E29" s="2690"/>
      <c r="F29" s="190">
        <v>94</v>
      </c>
      <c r="G29" s="190">
        <v>94</v>
      </c>
      <c r="H29" s="187">
        <v>94</v>
      </c>
      <c r="I29" s="2564"/>
    </row>
    <row r="30" spans="1:9" ht="12.75" customHeight="1">
      <c r="A30" s="187" t="s">
        <v>1899</v>
      </c>
      <c r="B30" s="191" t="s">
        <v>1850</v>
      </c>
      <c r="C30" s="2689"/>
      <c r="D30" s="190" t="s">
        <v>2809</v>
      </c>
      <c r="E30" s="2690"/>
      <c r="F30" s="190">
        <v>93</v>
      </c>
      <c r="G30" s="190">
        <v>92</v>
      </c>
      <c r="H30" s="187">
        <v>92</v>
      </c>
      <c r="I30" s="2564"/>
    </row>
    <row r="31" spans="1:9" ht="12.75" customHeight="1">
      <c r="A31" s="187" t="s">
        <v>1900</v>
      </c>
      <c r="B31" s="190" t="s">
        <v>1851</v>
      </c>
      <c r="C31" s="2689"/>
      <c r="D31" s="190">
        <v>85</v>
      </c>
      <c r="E31" s="2691"/>
      <c r="F31" s="190">
        <v>82</v>
      </c>
      <c r="G31" s="190">
        <v>80</v>
      </c>
      <c r="H31" s="187">
        <v>80</v>
      </c>
      <c r="I31" s="2564"/>
    </row>
    <row r="32" spans="1:9" ht="36">
      <c r="A32" s="187" t="s">
        <v>1901</v>
      </c>
      <c r="B32" s="192" t="s">
        <v>1902</v>
      </c>
      <c r="C32" s="187" t="s">
        <v>1862</v>
      </c>
      <c r="D32" s="187">
        <v>1</v>
      </c>
      <c r="E32" s="187">
        <v>0</v>
      </c>
      <c r="F32" s="187">
        <v>0</v>
      </c>
      <c r="G32" s="187">
        <v>0</v>
      </c>
      <c r="H32" s="187">
        <v>0</v>
      </c>
      <c r="I32" s="187" t="s">
        <v>1903</v>
      </c>
    </row>
    <row r="33" spans="1:9" ht="36">
      <c r="A33" s="187" t="s">
        <v>1904</v>
      </c>
      <c r="B33" s="191" t="s">
        <v>1135</v>
      </c>
      <c r="C33" s="190" t="s">
        <v>1862</v>
      </c>
      <c r="D33" s="190" t="s">
        <v>1858</v>
      </c>
      <c r="E33" s="190">
        <v>10.5</v>
      </c>
      <c r="F33" s="190">
        <v>10.5</v>
      </c>
      <c r="G33" s="190">
        <v>10.6</v>
      </c>
      <c r="H33" s="190">
        <v>10.5</v>
      </c>
      <c r="I33" s="187" t="s">
        <v>1905</v>
      </c>
    </row>
    <row r="34" spans="1:9">
      <c r="A34" s="189" t="s">
        <v>791</v>
      </c>
      <c r="B34" s="2680" t="s">
        <v>1906</v>
      </c>
      <c r="C34" s="2680"/>
      <c r="D34" s="2680"/>
      <c r="E34" s="2680"/>
      <c r="F34" s="2680"/>
      <c r="G34" s="2680"/>
      <c r="H34" s="2680"/>
      <c r="I34" s="2680"/>
    </row>
    <row r="35" spans="1:9" ht="36">
      <c r="A35" s="187" t="s">
        <v>1907</v>
      </c>
      <c r="B35" s="187" t="s">
        <v>1841</v>
      </c>
      <c r="C35" s="187" t="s">
        <v>1873</v>
      </c>
      <c r="D35" s="187" t="s">
        <v>1886</v>
      </c>
      <c r="E35" s="190">
        <v>87.5</v>
      </c>
      <c r="F35" s="190">
        <v>90</v>
      </c>
      <c r="G35" s="190">
        <v>92</v>
      </c>
      <c r="H35" s="190">
        <v>90</v>
      </c>
      <c r="I35" s="190" t="s">
        <v>1880</v>
      </c>
    </row>
    <row r="36" spans="1:9" ht="60" customHeight="1">
      <c r="A36" s="187" t="s">
        <v>1908</v>
      </c>
      <c r="B36" s="187" t="s">
        <v>1842</v>
      </c>
      <c r="C36" s="187" t="s">
        <v>1873</v>
      </c>
      <c r="D36" s="187">
        <v>9.0500000000000007</v>
      </c>
      <c r="E36" s="187">
        <v>15.1</v>
      </c>
      <c r="F36" s="187">
        <v>10</v>
      </c>
      <c r="G36" s="187">
        <v>10</v>
      </c>
      <c r="H36" s="187">
        <v>10</v>
      </c>
      <c r="I36" s="187" t="s">
        <v>1880</v>
      </c>
    </row>
    <row r="37" spans="1:9" ht="24">
      <c r="A37" s="187" t="s">
        <v>1909</v>
      </c>
      <c r="B37" s="187" t="s">
        <v>2669</v>
      </c>
      <c r="C37" s="187" t="s">
        <v>1873</v>
      </c>
      <c r="D37" s="187">
        <v>0</v>
      </c>
      <c r="E37" s="187">
        <v>3.4</v>
      </c>
      <c r="F37" s="187">
        <v>0.5</v>
      </c>
      <c r="G37" s="187">
        <v>0.5</v>
      </c>
      <c r="H37" s="187">
        <v>0.5</v>
      </c>
      <c r="I37" s="187" t="s">
        <v>1880</v>
      </c>
    </row>
    <row r="38" spans="1:9">
      <c r="A38" s="189" t="s">
        <v>792</v>
      </c>
      <c r="B38" s="2488" t="s">
        <v>1910</v>
      </c>
      <c r="C38" s="2488"/>
      <c r="D38" s="2488"/>
      <c r="E38" s="2488"/>
      <c r="F38" s="2488"/>
      <c r="G38" s="2488"/>
      <c r="H38" s="2488"/>
      <c r="I38" s="2488"/>
    </row>
    <row r="39" spans="1:9" ht="12.75" customHeight="1">
      <c r="A39" s="2564" t="s">
        <v>1911</v>
      </c>
      <c r="B39" s="2684" t="s">
        <v>1940</v>
      </c>
      <c r="C39" s="2564" t="s">
        <v>1873</v>
      </c>
      <c r="D39" s="2564" t="s">
        <v>1886</v>
      </c>
      <c r="E39" s="2686">
        <v>0.94</v>
      </c>
      <c r="F39" s="2686">
        <v>0.7</v>
      </c>
      <c r="G39" s="2686">
        <v>0.7</v>
      </c>
      <c r="H39" s="2686">
        <v>0.7</v>
      </c>
      <c r="I39" s="2564" t="s">
        <v>1880</v>
      </c>
    </row>
    <row r="40" spans="1:9" ht="30" customHeight="1">
      <c r="A40" s="2564"/>
      <c r="B40" s="2685"/>
      <c r="C40" s="2564"/>
      <c r="D40" s="2564"/>
      <c r="E40" s="2687"/>
      <c r="F40" s="2687"/>
      <c r="G40" s="2687"/>
      <c r="H40" s="2687"/>
      <c r="I40" s="2564"/>
    </row>
    <row r="41" spans="1:9" ht="12.75" customHeight="1">
      <c r="A41" s="2564" t="s">
        <v>1912</v>
      </c>
      <c r="B41" s="2684" t="s">
        <v>2666</v>
      </c>
      <c r="C41" s="2564" t="s">
        <v>1873</v>
      </c>
      <c r="D41" s="2564" t="s">
        <v>2667</v>
      </c>
      <c r="E41" s="2684" t="s">
        <v>3367</v>
      </c>
      <c r="F41" s="2684">
        <v>3.5</v>
      </c>
      <c r="G41" s="2684">
        <v>3.5</v>
      </c>
      <c r="H41" s="2684">
        <v>3.5</v>
      </c>
      <c r="I41" s="2564" t="s">
        <v>1880</v>
      </c>
    </row>
    <row r="42" spans="1:9" ht="27.75" customHeight="1">
      <c r="A42" s="2564"/>
      <c r="B42" s="2685"/>
      <c r="C42" s="2564"/>
      <c r="D42" s="2564"/>
      <c r="E42" s="2685"/>
      <c r="F42" s="2685"/>
      <c r="G42" s="2685"/>
      <c r="H42" s="2685"/>
      <c r="I42" s="2564"/>
    </row>
    <row r="43" spans="1:9" ht="22.15" customHeight="1">
      <c r="A43" s="2564" t="s">
        <v>1913</v>
      </c>
      <c r="B43" s="2688" t="s">
        <v>2916</v>
      </c>
      <c r="C43" s="2564" t="s">
        <v>1873</v>
      </c>
      <c r="D43" s="2564">
        <v>100</v>
      </c>
      <c r="E43" s="2684">
        <v>96.5</v>
      </c>
      <c r="F43" s="2684">
        <v>97</v>
      </c>
      <c r="G43" s="2684">
        <v>98</v>
      </c>
      <c r="H43" s="2684">
        <v>99</v>
      </c>
      <c r="I43" s="2684" t="s">
        <v>2670</v>
      </c>
    </row>
    <row r="44" spans="1:9" ht="28.5" customHeight="1">
      <c r="A44" s="2564"/>
      <c r="B44" s="2688"/>
      <c r="C44" s="2564"/>
      <c r="D44" s="2564"/>
      <c r="E44" s="2685"/>
      <c r="F44" s="2685"/>
      <c r="G44" s="2685"/>
      <c r="H44" s="2685"/>
      <c r="I44" s="2685"/>
    </row>
    <row r="45" spans="1:9" ht="36">
      <c r="A45" s="187" t="s">
        <v>1915</v>
      </c>
      <c r="B45" s="187" t="s">
        <v>1916</v>
      </c>
      <c r="C45" s="187" t="s">
        <v>1873</v>
      </c>
      <c r="D45" s="187" t="s">
        <v>2668</v>
      </c>
      <c r="E45" s="187" t="s">
        <v>3368</v>
      </c>
      <c r="F45" s="187">
        <v>100</v>
      </c>
      <c r="G45" s="187">
        <v>100</v>
      </c>
      <c r="H45" s="187">
        <v>100</v>
      </c>
      <c r="I45" s="187" t="s">
        <v>1880</v>
      </c>
    </row>
    <row r="46" spans="1:9" ht="48">
      <c r="A46" s="187" t="s">
        <v>1917</v>
      </c>
      <c r="B46" s="187" t="s">
        <v>1918</v>
      </c>
      <c r="C46" s="187" t="s">
        <v>1873</v>
      </c>
      <c r="D46" s="187">
        <v>100</v>
      </c>
      <c r="E46" s="187" t="s">
        <v>3369</v>
      </c>
      <c r="F46" s="187">
        <v>100</v>
      </c>
      <c r="G46" s="187">
        <v>100</v>
      </c>
      <c r="H46" s="187">
        <v>100</v>
      </c>
      <c r="I46" s="187" t="s">
        <v>1880</v>
      </c>
    </row>
    <row r="47" spans="1:9" ht="28.5" customHeight="1">
      <c r="A47" s="189" t="s">
        <v>793</v>
      </c>
      <c r="B47" s="2488" t="s">
        <v>1919</v>
      </c>
      <c r="C47" s="2488"/>
      <c r="D47" s="2488"/>
      <c r="E47" s="2488"/>
      <c r="F47" s="2488"/>
      <c r="G47" s="2488"/>
      <c r="H47" s="2488"/>
      <c r="I47" s="2488"/>
    </row>
    <row r="48" spans="1:9" ht="24">
      <c r="A48" s="187" t="s">
        <v>1920</v>
      </c>
      <c r="B48" s="187" t="s">
        <v>1921</v>
      </c>
      <c r="C48" s="187" t="s">
        <v>1862</v>
      </c>
      <c r="D48" s="187">
        <v>73.53</v>
      </c>
      <c r="E48" s="187">
        <v>69.099999999999994</v>
      </c>
      <c r="F48" s="187">
        <v>70</v>
      </c>
      <c r="G48" s="187">
        <v>70</v>
      </c>
      <c r="H48" s="187">
        <v>70</v>
      </c>
      <c r="I48" s="187" t="s">
        <v>1922</v>
      </c>
    </row>
    <row r="49" spans="1:9" ht="36">
      <c r="A49" s="187" t="s">
        <v>1923</v>
      </c>
      <c r="B49" s="187" t="s">
        <v>1924</v>
      </c>
      <c r="C49" s="187" t="s">
        <v>1862</v>
      </c>
      <c r="D49" s="190">
        <v>63.6</v>
      </c>
      <c r="E49" s="190">
        <v>64.099999999999994</v>
      </c>
      <c r="F49" s="190">
        <v>65</v>
      </c>
      <c r="G49" s="190">
        <v>65</v>
      </c>
      <c r="H49" s="190">
        <v>66</v>
      </c>
      <c r="I49" s="187" t="s">
        <v>1914</v>
      </c>
    </row>
    <row r="50" spans="1:9" ht="48">
      <c r="A50" s="187" t="s">
        <v>1925</v>
      </c>
      <c r="B50" s="187" t="s">
        <v>1926</v>
      </c>
      <c r="C50" s="187" t="s">
        <v>1862</v>
      </c>
      <c r="D50" s="187">
        <v>690</v>
      </c>
      <c r="E50" s="187">
        <v>784</v>
      </c>
      <c r="F50" s="187">
        <v>705</v>
      </c>
      <c r="G50" s="187">
        <v>710</v>
      </c>
      <c r="H50" s="187">
        <v>720</v>
      </c>
      <c r="I50" s="187" t="s">
        <v>1927</v>
      </c>
    </row>
    <row r="51" spans="1:9" ht="30" customHeight="1">
      <c r="A51" s="187" t="s">
        <v>1928</v>
      </c>
      <c r="B51" s="187" t="s">
        <v>1929</v>
      </c>
      <c r="C51" s="187" t="s">
        <v>1862</v>
      </c>
      <c r="D51" s="187">
        <v>26</v>
      </c>
      <c r="E51" s="187">
        <v>27</v>
      </c>
      <c r="F51" s="187">
        <v>28</v>
      </c>
      <c r="G51" s="187">
        <v>29</v>
      </c>
      <c r="H51" s="187">
        <v>30</v>
      </c>
      <c r="I51" s="2564" t="s">
        <v>1930</v>
      </c>
    </row>
    <row r="52" spans="1:9" ht="24">
      <c r="A52" s="187" t="s">
        <v>1931</v>
      </c>
      <c r="B52" s="187" t="s">
        <v>1932</v>
      </c>
      <c r="C52" s="187" t="s">
        <v>1862</v>
      </c>
      <c r="D52" s="187">
        <v>522</v>
      </c>
      <c r="E52" s="187">
        <v>530</v>
      </c>
      <c r="F52" s="187">
        <v>535</v>
      </c>
      <c r="G52" s="187">
        <v>540</v>
      </c>
      <c r="H52" s="187">
        <v>550</v>
      </c>
      <c r="I52" s="2564"/>
    </row>
    <row r="53" spans="1:9">
      <c r="A53" s="189" t="s">
        <v>794</v>
      </c>
      <c r="B53" s="2488" t="s">
        <v>1933</v>
      </c>
      <c r="C53" s="2488"/>
      <c r="D53" s="2488"/>
      <c r="E53" s="450"/>
      <c r="F53" s="189"/>
      <c r="G53" s="189"/>
      <c r="H53" s="189"/>
      <c r="I53" s="189"/>
    </row>
    <row r="54" spans="1:9" ht="48">
      <c r="A54" s="187" t="s">
        <v>1934</v>
      </c>
      <c r="B54" s="187" t="s">
        <v>1935</v>
      </c>
      <c r="C54" s="187" t="s">
        <v>1873</v>
      </c>
      <c r="D54" s="187" t="s">
        <v>1886</v>
      </c>
      <c r="E54" s="190">
        <v>75</v>
      </c>
      <c r="F54" s="190">
        <v>75</v>
      </c>
      <c r="G54" s="190">
        <v>77</v>
      </c>
      <c r="H54" s="190" t="s">
        <v>3644</v>
      </c>
      <c r="I54" s="187" t="s">
        <v>1936</v>
      </c>
    </row>
    <row r="55" spans="1:9" ht="24">
      <c r="A55" s="187" t="s">
        <v>1937</v>
      </c>
      <c r="B55" s="187" t="s">
        <v>1938</v>
      </c>
      <c r="C55" s="187" t="s">
        <v>1873</v>
      </c>
      <c r="D55" s="187" t="s">
        <v>1886</v>
      </c>
      <c r="E55" s="190">
        <v>93.6</v>
      </c>
      <c r="F55" s="190">
        <v>94</v>
      </c>
      <c r="G55" s="190">
        <v>95</v>
      </c>
      <c r="H55" s="190">
        <v>44.9</v>
      </c>
      <c r="I55" s="187" t="s">
        <v>1939</v>
      </c>
    </row>
  </sheetData>
  <sheetProtection algorithmName="SHA-512" hashValue="fQGtL8C0VS6MDc7FaQnQGUOJbZ+sYKxkEO94W6ZACRKmEbuh4AknjlISnk+ifjYfVoiCXEWROooRdL9GkMlj1g==" saltValue="V88njLTQcR3OaoKuWbC7Qw==" spinCount="100000" sheet="1" objects="1" scenarios="1"/>
  <mergeCells count="42">
    <mergeCell ref="C28:C31"/>
    <mergeCell ref="I28:I31"/>
    <mergeCell ref="B34:I34"/>
    <mergeCell ref="B38:I38"/>
    <mergeCell ref="I43:I44"/>
    <mergeCell ref="B41:B42"/>
    <mergeCell ref="E41:E42"/>
    <mergeCell ref="F41:F42"/>
    <mergeCell ref="G41:G42"/>
    <mergeCell ref="E43:E44"/>
    <mergeCell ref="F43:F44"/>
    <mergeCell ref="G43:G44"/>
    <mergeCell ref="E28:E31"/>
    <mergeCell ref="B47:I47"/>
    <mergeCell ref="I51:I52"/>
    <mergeCell ref="B53:D53"/>
    <mergeCell ref="A41:A42"/>
    <mergeCell ref="C41:C42"/>
    <mergeCell ref="D41:D42"/>
    <mergeCell ref="I41:I42"/>
    <mergeCell ref="A43:A44"/>
    <mergeCell ref="B43:B44"/>
    <mergeCell ref="C43:C44"/>
    <mergeCell ref="D43:D44"/>
    <mergeCell ref="H41:H42"/>
    <mergeCell ref="H43:H44"/>
    <mergeCell ref="A39:A40"/>
    <mergeCell ref="C39:C40"/>
    <mergeCell ref="D39:D40"/>
    <mergeCell ref="I39:I40"/>
    <mergeCell ref="B39:B40"/>
    <mergeCell ref="E39:E40"/>
    <mergeCell ref="F39:F40"/>
    <mergeCell ref="G39:G40"/>
    <mergeCell ref="H39:H40"/>
    <mergeCell ref="A2:I2"/>
    <mergeCell ref="B7:I7"/>
    <mergeCell ref="B12:I12"/>
    <mergeCell ref="B23:I23"/>
    <mergeCell ref="C24:C27"/>
    <mergeCell ref="I24:I27"/>
    <mergeCell ref="E24:E27"/>
  </mergeCells>
  <pageMargins left="0.7" right="0.7" top="0.75" bottom="0.75" header="0.3" footer="0.3"/>
  <pageSetup paperSize="9" scale="80"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92783-4965-400D-A2EF-4B6BFF04E7DD}">
  <sheetPr>
    <pageSetUpPr fitToPage="1"/>
  </sheetPr>
  <dimension ref="A1:W1117"/>
  <sheetViews>
    <sheetView zoomScale="89" zoomScaleNormal="89" zoomScaleSheetLayoutView="84" workbookViewId="0">
      <selection activeCell="O13" sqref="O13"/>
    </sheetView>
  </sheetViews>
  <sheetFormatPr defaultColWidth="9.140625" defaultRowHeight="9.75"/>
  <cols>
    <col min="1" max="1" width="15.28515625" style="304" customWidth="1"/>
    <col min="2" max="2" width="31.85546875" style="304" customWidth="1"/>
    <col min="3" max="3" width="4.28515625" style="304" customWidth="1"/>
    <col min="4" max="4" width="7.5703125" style="304" customWidth="1"/>
    <col min="5" max="6" width="10.7109375" style="376" hidden="1" customWidth="1"/>
    <col min="7" max="7" width="11" style="304" hidden="1" customWidth="1"/>
    <col min="8" max="9" width="16.140625" style="304" hidden="1" customWidth="1"/>
    <col min="10" max="10" width="16.140625" style="508" hidden="1" customWidth="1"/>
    <col min="11" max="11" width="16" style="304" customWidth="1"/>
    <col min="12" max="13" width="14.5703125" style="304" customWidth="1"/>
    <col min="14" max="14" width="11.5703125" style="1354" customWidth="1"/>
    <col min="15" max="15" width="80" style="304" customWidth="1"/>
    <col min="16" max="16" width="12.5703125" style="304" customWidth="1"/>
    <col min="17" max="17" width="30.5703125" style="304" customWidth="1"/>
    <col min="18" max="18" width="6.28515625" style="304" hidden="1" customWidth="1"/>
    <col min="19" max="21" width="6.28515625" style="304" customWidth="1"/>
    <col min="22" max="22" width="29.42578125" style="304" customWidth="1"/>
    <col min="23" max="23" width="25.85546875" style="304" hidden="1" customWidth="1"/>
    <col min="24" max="24" width="9.140625" style="304"/>
    <col min="25" max="26" width="8.85546875" style="304" customWidth="1"/>
    <col min="27" max="16384" width="9.140625" style="304"/>
  </cols>
  <sheetData>
    <row r="1" spans="1:22" ht="31.5" customHeight="1">
      <c r="A1" s="2770" t="s">
        <v>2263</v>
      </c>
      <c r="B1" s="2770"/>
      <c r="C1" s="2770"/>
      <c r="D1" s="2770"/>
      <c r="E1" s="2770"/>
      <c r="F1" s="2770"/>
      <c r="G1" s="2770"/>
      <c r="H1" s="2770"/>
      <c r="I1" s="2770"/>
      <c r="J1" s="2770"/>
      <c r="K1" s="2770"/>
      <c r="L1" s="2770"/>
      <c r="M1" s="441"/>
      <c r="R1" s="2769"/>
      <c r="S1" s="2769"/>
      <c r="T1" s="2769"/>
      <c r="U1" s="2769"/>
      <c r="V1" s="2769"/>
    </row>
    <row r="2" spans="1:22" ht="43.5" customHeight="1">
      <c r="A2" s="2474" t="s">
        <v>2812</v>
      </c>
      <c r="B2" s="2474"/>
      <c r="C2" s="2474"/>
      <c r="D2" s="2474"/>
      <c r="E2" s="2474"/>
      <c r="F2" s="2474"/>
      <c r="G2" s="2474"/>
      <c r="H2" s="2474"/>
      <c r="I2" s="2474"/>
      <c r="J2" s="2474"/>
      <c r="K2" s="2474"/>
      <c r="L2" s="2474"/>
      <c r="M2" s="2474"/>
      <c r="N2" s="2474"/>
      <c r="O2" s="2474"/>
      <c r="P2" s="2474"/>
      <c r="Q2" s="2474"/>
      <c r="R2" s="2474"/>
      <c r="S2" s="2474"/>
      <c r="T2" s="2474"/>
      <c r="U2" s="2474"/>
      <c r="V2" s="2474"/>
    </row>
    <row r="3" spans="1:22" ht="13.5" customHeight="1">
      <c r="A3" s="164"/>
      <c r="B3" s="164"/>
      <c r="C3" s="164"/>
      <c r="D3" s="164"/>
      <c r="E3" s="164"/>
      <c r="F3" s="164"/>
      <c r="G3" s="360"/>
      <c r="H3" s="360"/>
      <c r="I3" s="360"/>
      <c r="J3" s="630"/>
      <c r="R3" s="360"/>
      <c r="S3" s="360"/>
      <c r="T3" s="360"/>
      <c r="U3" s="360"/>
      <c r="V3" s="360"/>
    </row>
    <row r="4" spans="1:22" s="236" customFormat="1" ht="16.5" customHeight="1">
      <c r="A4" s="361" t="str">
        <f>A13</f>
        <v>03.01.01. (T)</v>
      </c>
      <c r="B4" s="2692" t="str">
        <f>B13</f>
        <v>Užtikrinti efektyvią  įstaigų, veikiančių sporto srityje, veiklą</v>
      </c>
      <c r="C4" s="2692"/>
      <c r="D4" s="2692"/>
      <c r="E4" s="2692"/>
      <c r="F4" s="2692"/>
      <c r="G4" s="2692"/>
      <c r="H4" s="2692"/>
      <c r="I4" s="2692"/>
      <c r="J4" s="2692"/>
      <c r="K4" s="2692"/>
      <c r="N4" s="170"/>
      <c r="R4" s="234"/>
      <c r="S4" s="234"/>
      <c r="T4" s="234"/>
      <c r="U4" s="234"/>
      <c r="V4" s="234"/>
    </row>
    <row r="5" spans="1:22" s="236" customFormat="1" ht="16.5" customHeight="1">
      <c r="A5" s="362" t="str">
        <f>A25</f>
        <v>03.01.02. (T)</v>
      </c>
      <c r="B5" s="2693" t="str">
        <f>B25</f>
        <v>Plėtoti ir tobulinti sporto varžybas ir sporto sveikatingumo renginius siekiant įtraukti vaikus, jaunimą ir kitas gyventojų grupes į sportinę veiklą, rengti sporto specialistus</v>
      </c>
      <c r="C5" s="2693"/>
      <c r="D5" s="2693"/>
      <c r="E5" s="2693"/>
      <c r="F5" s="2693"/>
      <c r="G5" s="2693"/>
      <c r="H5" s="2693"/>
      <c r="I5" s="2693"/>
      <c r="J5" s="2693"/>
      <c r="K5" s="2693"/>
      <c r="L5" s="2693"/>
      <c r="M5" s="2693"/>
      <c r="N5" s="2693"/>
      <c r="O5" s="2693"/>
      <c r="R5" s="234"/>
      <c r="S5" s="234"/>
      <c r="T5" s="234"/>
      <c r="U5" s="234"/>
      <c r="V5" s="234"/>
    </row>
    <row r="6" spans="1:22" ht="21" customHeight="1">
      <c r="A6" s="362" t="s">
        <v>3522</v>
      </c>
      <c r="B6" s="2693" t="s">
        <v>3523</v>
      </c>
      <c r="C6" s="2693"/>
      <c r="D6" s="2693"/>
      <c r="E6" s="2693"/>
      <c r="F6" s="2693"/>
      <c r="G6" s="2693"/>
      <c r="H6" s="2693"/>
      <c r="I6" s="2693"/>
      <c r="J6" s="2693"/>
      <c r="K6" s="2693"/>
      <c r="L6" s="2693"/>
      <c r="M6" s="2693"/>
      <c r="N6" s="2693"/>
      <c r="O6" s="2693"/>
      <c r="R6" s="360"/>
      <c r="S6" s="360"/>
      <c r="T6" s="360"/>
      <c r="U6" s="360"/>
      <c r="V6" s="360"/>
    </row>
    <row r="7" spans="1:22" ht="15" customHeight="1">
      <c r="A7" s="362"/>
      <c r="B7" s="362"/>
      <c r="C7" s="362"/>
      <c r="D7" s="362"/>
      <c r="E7" s="362"/>
      <c r="F7" s="362"/>
      <c r="G7" s="362"/>
      <c r="H7" s="362"/>
      <c r="I7" s="362"/>
      <c r="J7" s="362"/>
      <c r="K7" s="362"/>
      <c r="L7" s="362"/>
      <c r="M7" s="362"/>
      <c r="N7" s="1353"/>
      <c r="O7" s="362"/>
      <c r="R7" s="360"/>
      <c r="S7" s="360"/>
      <c r="T7" s="360"/>
      <c r="U7" s="360"/>
      <c r="V7" s="360"/>
    </row>
    <row r="8" spans="1:22" s="236" customFormat="1" ht="16.5" customHeight="1">
      <c r="A8" s="2771" t="s">
        <v>3098</v>
      </c>
      <c r="B8" s="2771"/>
      <c r="C8" s="2771"/>
      <c r="D8" s="2771"/>
      <c r="E8" s="2771"/>
      <c r="F8" s="114"/>
      <c r="G8" s="114"/>
      <c r="H8" s="114"/>
      <c r="I8" s="114"/>
      <c r="J8" s="569"/>
      <c r="K8" s="98"/>
      <c r="L8" s="98"/>
      <c r="M8" s="98"/>
      <c r="N8" s="205"/>
      <c r="O8" s="98"/>
      <c r="P8" s="193"/>
      <c r="Q8" s="193"/>
      <c r="R8" s="1355"/>
      <c r="S8" s="1355"/>
      <c r="T8" s="1355"/>
      <c r="U8" s="1355"/>
      <c r="V8" s="1355"/>
    </row>
    <row r="9" spans="1:22" s="236" customFormat="1" ht="28.5" customHeight="1">
      <c r="A9" s="2771" t="s">
        <v>4233</v>
      </c>
      <c r="B9" s="2771"/>
      <c r="C9" s="2771"/>
      <c r="D9" s="2771"/>
      <c r="E9" s="2771"/>
      <c r="F9" s="2771"/>
      <c r="G9" s="2771"/>
      <c r="H9" s="2771"/>
      <c r="I9" s="2771"/>
      <c r="J9" s="2771"/>
      <c r="K9" s="2771"/>
      <c r="L9" s="2771"/>
      <c r="M9" s="2771"/>
      <c r="N9" s="2771"/>
      <c r="O9" s="2771"/>
      <c r="P9" s="193"/>
      <c r="Q9" s="193"/>
      <c r="R9" s="1355"/>
      <c r="S9" s="1355"/>
      <c r="T9" s="1355"/>
      <c r="U9" s="1355"/>
      <c r="V9" s="1355"/>
    </row>
    <row r="10" spans="1:22" ht="24.75" customHeight="1">
      <c r="A10" s="2772" t="s">
        <v>4182</v>
      </c>
      <c r="B10" s="2772"/>
      <c r="C10" s="2772"/>
      <c r="D10" s="2772"/>
      <c r="E10" s="2772"/>
      <c r="F10" s="2772"/>
      <c r="G10" s="2772"/>
      <c r="H10" s="2772"/>
      <c r="I10" s="2772"/>
      <c r="J10" s="2772"/>
      <c r="K10" s="2772"/>
      <c r="L10" s="2772"/>
      <c r="M10" s="2772"/>
      <c r="N10" s="2772"/>
      <c r="O10" s="2772"/>
      <c r="P10" s="2772"/>
      <c r="Q10" s="2772"/>
      <c r="R10" s="2772"/>
      <c r="S10" s="2772"/>
      <c r="T10" s="2772"/>
      <c r="U10" s="2772"/>
      <c r="V10" s="2772"/>
    </row>
    <row r="11" spans="1:22" s="363" customFormat="1" ht="39.75" customHeight="1">
      <c r="A11" s="2359" t="s">
        <v>730</v>
      </c>
      <c r="B11" s="2359" t="s">
        <v>2013</v>
      </c>
      <c r="C11" s="2773" t="s">
        <v>1072</v>
      </c>
      <c r="D11" s="2748" t="s">
        <v>1073</v>
      </c>
      <c r="E11" s="2750" t="s">
        <v>1091</v>
      </c>
      <c r="F11" s="2447" t="s">
        <v>1186</v>
      </c>
      <c r="G11" s="2447" t="s">
        <v>2481</v>
      </c>
      <c r="H11" s="2359" t="s">
        <v>2030</v>
      </c>
      <c r="I11" s="2445" t="s">
        <v>3099</v>
      </c>
      <c r="J11" s="2445" t="s">
        <v>3100</v>
      </c>
      <c r="K11" s="2359" t="s">
        <v>2029</v>
      </c>
      <c r="L11" s="2359" t="s">
        <v>2086</v>
      </c>
      <c r="M11" s="2359" t="s">
        <v>3097</v>
      </c>
      <c r="N11" s="2359" t="s">
        <v>2052</v>
      </c>
      <c r="O11" s="2359" t="s">
        <v>2921</v>
      </c>
      <c r="P11" s="2361" t="s">
        <v>731</v>
      </c>
      <c r="Q11" s="2361" t="s">
        <v>1093</v>
      </c>
      <c r="R11" s="2740" t="s">
        <v>732</v>
      </c>
      <c r="S11" s="2741"/>
      <c r="T11" s="2741"/>
      <c r="U11" s="2742"/>
      <c r="V11" s="2361" t="s">
        <v>733</v>
      </c>
    </row>
    <row r="12" spans="1:22" s="363" customFormat="1" ht="43.5" customHeight="1">
      <c r="A12" s="2360"/>
      <c r="B12" s="2360"/>
      <c r="C12" s="2774"/>
      <c r="D12" s="2749"/>
      <c r="E12" s="2751"/>
      <c r="F12" s="2448"/>
      <c r="G12" s="2448"/>
      <c r="H12" s="2360"/>
      <c r="I12" s="2446"/>
      <c r="J12" s="2446"/>
      <c r="K12" s="2360"/>
      <c r="L12" s="2360"/>
      <c r="M12" s="2360"/>
      <c r="N12" s="2360"/>
      <c r="O12" s="2360"/>
      <c r="P12" s="2362"/>
      <c r="Q12" s="2362"/>
      <c r="R12" s="936">
        <v>2024</v>
      </c>
      <c r="S12" s="936">
        <v>2025</v>
      </c>
      <c r="T12" s="936">
        <v>2026</v>
      </c>
      <c r="U12" s="455">
        <v>2027</v>
      </c>
      <c r="V12" s="2362"/>
    </row>
    <row r="13" spans="1:22" ht="52.5" customHeight="1">
      <c r="A13" s="954" t="s">
        <v>2057</v>
      </c>
      <c r="B13" s="954" t="s">
        <v>1187</v>
      </c>
      <c r="C13" s="1359"/>
      <c r="D13" s="1359"/>
      <c r="E13" s="1049">
        <f>SUM(E16)</f>
        <v>1102.03</v>
      </c>
      <c r="F13" s="1047">
        <f>H13/E13-1</f>
        <v>3.6868324818743581E-2</v>
      </c>
      <c r="G13" s="1049">
        <f t="shared" ref="G13:L13" si="0">SUM(G16)</f>
        <v>0</v>
      </c>
      <c r="H13" s="1006">
        <f>SUM(H16)</f>
        <v>1142.6599999999999</v>
      </c>
      <c r="I13" s="1048">
        <f>K13/H13-1</f>
        <v>5.0312428893984684E-2</v>
      </c>
      <c r="J13" s="1049">
        <f>SUM(J16)</f>
        <v>0</v>
      </c>
      <c r="K13" s="1006">
        <f t="shared" si="0"/>
        <v>1200.1500000000003</v>
      </c>
      <c r="L13" s="1006">
        <f t="shared" si="0"/>
        <v>1232.6300000000001</v>
      </c>
      <c r="M13" s="1006">
        <f>SUM(M16)</f>
        <v>1235.3019999999999</v>
      </c>
      <c r="N13" s="954" t="s">
        <v>890</v>
      </c>
      <c r="O13" s="954"/>
      <c r="P13" s="970" t="s">
        <v>1343</v>
      </c>
      <c r="Q13" s="970" t="s">
        <v>892</v>
      </c>
      <c r="R13" s="970" t="s">
        <v>1744</v>
      </c>
      <c r="S13" s="970" t="s">
        <v>1786</v>
      </c>
      <c r="T13" s="970" t="s">
        <v>2933</v>
      </c>
      <c r="U13" s="970" t="s">
        <v>2933</v>
      </c>
      <c r="V13" s="970" t="s">
        <v>892</v>
      </c>
    </row>
    <row r="14" spans="1:22" ht="30.6" customHeight="1">
      <c r="A14" s="2747" t="s">
        <v>2058</v>
      </c>
      <c r="B14" s="2756" t="s">
        <v>1188</v>
      </c>
      <c r="C14" s="2754" t="s">
        <v>1208</v>
      </c>
      <c r="D14" s="1360" t="s">
        <v>471</v>
      </c>
      <c r="E14" s="1099">
        <v>1077.3499999999999</v>
      </c>
      <c r="F14" s="1361">
        <f>H14/E14-1</f>
        <v>3.800993177704548E-2</v>
      </c>
      <c r="G14" s="1099">
        <f>SUM(G17,G18,G20,G21,G22,)</f>
        <v>0</v>
      </c>
      <c r="H14" s="1100">
        <f t="shared" ref="H14" si="1">SUM(H17,H18,H20,H21,H22,)</f>
        <v>1118.3</v>
      </c>
      <c r="I14" s="1149">
        <f>K14/H14-1</f>
        <v>4.623088616650306E-2</v>
      </c>
      <c r="J14" s="1099"/>
      <c r="K14" s="1100">
        <f>SUM(K17,K18,K20,K21,K22,K23,K24,)</f>
        <v>1170.0000000000002</v>
      </c>
      <c r="L14" s="1100">
        <f t="shared" ref="L14:M14" si="2">SUM(L17,L18,L20,L21,L22,L23,L24,)</f>
        <v>1200</v>
      </c>
      <c r="M14" s="1100">
        <f t="shared" si="2"/>
        <v>1200.002</v>
      </c>
      <c r="N14" s="2694" t="s">
        <v>2301</v>
      </c>
      <c r="O14" s="2349" t="s">
        <v>3888</v>
      </c>
      <c r="P14" s="2343" t="s">
        <v>1344</v>
      </c>
      <c r="Q14" s="2343" t="s">
        <v>100</v>
      </c>
      <c r="R14" s="2343" t="s">
        <v>1338</v>
      </c>
      <c r="S14" s="2343" t="s">
        <v>1463</v>
      </c>
      <c r="T14" s="2343" t="s">
        <v>1463</v>
      </c>
      <c r="U14" s="2343" t="s">
        <v>1463</v>
      </c>
      <c r="V14" s="2343" t="s">
        <v>2302</v>
      </c>
    </row>
    <row r="15" spans="1:22" ht="28.15" customHeight="1">
      <c r="A15" s="2745"/>
      <c r="B15" s="2757"/>
      <c r="C15" s="2755"/>
      <c r="D15" s="1050" t="s">
        <v>1124</v>
      </c>
      <c r="E15" s="1051">
        <v>24.68</v>
      </c>
      <c r="F15" s="1362">
        <f>H15/E15-1</f>
        <v>-1.2965964343598091E-2</v>
      </c>
      <c r="G15" s="1051"/>
      <c r="H15" s="1053">
        <v>24.36</v>
      </c>
      <c r="I15" s="1054">
        <f>K15/H15-1</f>
        <v>0.23768472906403937</v>
      </c>
      <c r="J15" s="1051"/>
      <c r="K15" s="1053">
        <f>SUM(K19)</f>
        <v>30.15</v>
      </c>
      <c r="L15" s="1053">
        <f t="shared" ref="L15:M15" si="3">SUM(L19)</f>
        <v>32.630000000000003</v>
      </c>
      <c r="M15" s="1053">
        <f t="shared" si="3"/>
        <v>35.299999999999997</v>
      </c>
      <c r="N15" s="2695"/>
      <c r="O15" s="2363"/>
      <c r="P15" s="2345"/>
      <c r="Q15" s="2345"/>
      <c r="R15" s="2345"/>
      <c r="S15" s="2345"/>
      <c r="T15" s="2345"/>
      <c r="U15" s="2345"/>
      <c r="V15" s="2345"/>
    </row>
    <row r="16" spans="1:22" ht="31.9" customHeight="1">
      <c r="A16" s="2745"/>
      <c r="B16" s="2757"/>
      <c r="C16" s="2755"/>
      <c r="D16" s="1152" t="s">
        <v>1076</v>
      </c>
      <c r="E16" s="1088">
        <f>SUM(E14:E15)</f>
        <v>1102.03</v>
      </c>
      <c r="F16" s="1363">
        <f t="shared" ref="F16:M16" si="4">SUM(F14:F15)</f>
        <v>2.5043967433447389E-2</v>
      </c>
      <c r="G16" s="1088">
        <f t="shared" si="4"/>
        <v>0</v>
      </c>
      <c r="H16" s="1089">
        <f t="shared" ref="H16" si="5">SUM(H14:H15)</f>
        <v>1142.6599999999999</v>
      </c>
      <c r="I16" s="1358">
        <f>K16/H16-1</f>
        <v>5.0312428893984684E-2</v>
      </c>
      <c r="J16" s="1088"/>
      <c r="K16" s="1089">
        <f t="shared" si="4"/>
        <v>1200.1500000000003</v>
      </c>
      <c r="L16" s="1089">
        <f t="shared" si="4"/>
        <v>1232.6300000000001</v>
      </c>
      <c r="M16" s="1089">
        <f t="shared" si="4"/>
        <v>1235.3019999999999</v>
      </c>
      <c r="N16" s="2695"/>
      <c r="O16" s="2363"/>
      <c r="P16" s="2345"/>
      <c r="Q16" s="2345"/>
      <c r="R16" s="2345"/>
      <c r="S16" s="2345"/>
      <c r="T16" s="2345"/>
      <c r="U16" s="2344"/>
      <c r="V16" s="2345"/>
    </row>
    <row r="17" spans="1:23" ht="20.100000000000001" hidden="1" customHeight="1">
      <c r="A17" s="1364"/>
      <c r="B17" s="1011" t="s">
        <v>506</v>
      </c>
      <c r="C17" s="1365"/>
      <c r="D17" s="990" t="s">
        <v>471</v>
      </c>
      <c r="E17" s="1120"/>
      <c r="F17" s="1120"/>
      <c r="G17" s="1120"/>
      <c r="H17" s="989">
        <v>15.49</v>
      </c>
      <c r="I17" s="989"/>
      <c r="J17" s="1068"/>
      <c r="K17" s="989">
        <v>12.4</v>
      </c>
      <c r="L17" s="989">
        <v>12.4</v>
      </c>
      <c r="M17" s="989">
        <v>12.4</v>
      </c>
      <c r="N17" s="989"/>
      <c r="O17" s="1009"/>
      <c r="P17" s="1011"/>
      <c r="Q17" s="1011"/>
      <c r="R17" s="1011"/>
      <c r="S17" s="1011"/>
      <c r="T17" s="1011"/>
      <c r="U17" s="1011"/>
      <c r="V17" s="1011"/>
    </row>
    <row r="18" spans="1:23" ht="20.100000000000001" hidden="1" customHeight="1">
      <c r="A18" s="1364"/>
      <c r="B18" s="2743" t="s">
        <v>2709</v>
      </c>
      <c r="C18" s="1365"/>
      <c r="D18" s="990" t="s">
        <v>471</v>
      </c>
      <c r="E18" s="1120"/>
      <c r="F18" s="1120"/>
      <c r="G18" s="1120"/>
      <c r="H18" s="989">
        <v>622.29999999999995</v>
      </c>
      <c r="I18" s="989"/>
      <c r="J18" s="1068"/>
      <c r="K18" s="989">
        <v>567</v>
      </c>
      <c r="L18" s="989">
        <v>597.1</v>
      </c>
      <c r="M18" s="989">
        <v>597.1</v>
      </c>
      <c r="N18" s="989"/>
      <c r="O18" s="1009"/>
      <c r="P18" s="1011"/>
      <c r="Q18" s="1011" t="s">
        <v>4133</v>
      </c>
      <c r="R18" s="1011"/>
      <c r="S18" s="1011"/>
      <c r="T18" s="1011"/>
      <c r="U18" s="1011"/>
      <c r="V18" s="1011"/>
    </row>
    <row r="19" spans="1:23" ht="20.100000000000001" hidden="1" customHeight="1">
      <c r="A19" s="1364"/>
      <c r="B19" s="2744"/>
      <c r="C19" s="1365"/>
      <c r="D19" s="990" t="s">
        <v>1834</v>
      </c>
      <c r="E19" s="1120"/>
      <c r="F19" s="1120"/>
      <c r="G19" s="1120"/>
      <c r="H19" s="989">
        <f>H15</f>
        <v>24.36</v>
      </c>
      <c r="I19" s="989"/>
      <c r="J19" s="1068"/>
      <c r="K19" s="989">
        <v>30.15</v>
      </c>
      <c r="L19" s="989">
        <v>32.630000000000003</v>
      </c>
      <c r="M19" s="989">
        <v>35.299999999999997</v>
      </c>
      <c r="N19" s="989"/>
      <c r="O19" s="1009"/>
      <c r="P19" s="1011"/>
      <c r="Q19" s="1011"/>
      <c r="R19" s="1011"/>
      <c r="S19" s="1011"/>
      <c r="T19" s="1011"/>
      <c r="U19" s="1011"/>
      <c r="V19" s="1011"/>
    </row>
    <row r="20" spans="1:23" ht="20.100000000000001" hidden="1" customHeight="1">
      <c r="A20" s="1364"/>
      <c r="B20" s="1011" t="s">
        <v>2710</v>
      </c>
      <c r="C20" s="1365"/>
      <c r="D20" s="990" t="s">
        <v>471</v>
      </c>
      <c r="E20" s="1120"/>
      <c r="F20" s="1120"/>
      <c r="G20" s="1120"/>
      <c r="H20" s="989">
        <v>251.62</v>
      </c>
      <c r="I20" s="989"/>
      <c r="J20" s="1068"/>
      <c r="K20" s="989">
        <v>292.3</v>
      </c>
      <c r="L20" s="989">
        <v>292.3</v>
      </c>
      <c r="M20" s="989">
        <v>292.3</v>
      </c>
      <c r="N20" s="989"/>
      <c r="O20" s="1009"/>
      <c r="P20" s="1011"/>
      <c r="Q20" s="1011" t="s">
        <v>4134</v>
      </c>
      <c r="R20" s="1011"/>
      <c r="S20" s="1011"/>
      <c r="T20" s="1011"/>
      <c r="U20" s="1011"/>
      <c r="V20" s="1011"/>
    </row>
    <row r="21" spans="1:23" ht="20.100000000000001" hidden="1" customHeight="1">
      <c r="A21" s="1364"/>
      <c r="B21" s="1011" t="s">
        <v>2711</v>
      </c>
      <c r="C21" s="1365"/>
      <c r="D21" s="990" t="s">
        <v>471</v>
      </c>
      <c r="E21" s="1120"/>
      <c r="F21" s="1120"/>
      <c r="G21" s="1120"/>
      <c r="H21" s="989">
        <v>141.85</v>
      </c>
      <c r="I21" s="989"/>
      <c r="J21" s="1068"/>
      <c r="K21" s="989">
        <v>151</v>
      </c>
      <c r="L21" s="989">
        <v>151</v>
      </c>
      <c r="M21" s="989">
        <v>151</v>
      </c>
      <c r="N21" s="989"/>
      <c r="O21" s="1009"/>
      <c r="P21" s="1011"/>
      <c r="Q21" s="1011" t="s">
        <v>4135</v>
      </c>
      <c r="R21" s="1011"/>
      <c r="S21" s="1011"/>
      <c r="T21" s="1011"/>
      <c r="U21" s="1011"/>
      <c r="V21" s="1011"/>
    </row>
    <row r="22" spans="1:23" ht="25.5" hidden="1" customHeight="1">
      <c r="A22" s="1364"/>
      <c r="B22" s="1011" t="s">
        <v>2712</v>
      </c>
      <c r="C22" s="1365"/>
      <c r="D22" s="990" t="s">
        <v>471</v>
      </c>
      <c r="E22" s="1120"/>
      <c r="F22" s="1120"/>
      <c r="G22" s="1120"/>
      <c r="H22" s="989">
        <v>87.04</v>
      </c>
      <c r="I22" s="989"/>
      <c r="J22" s="1068"/>
      <c r="K22" s="989">
        <v>77</v>
      </c>
      <c r="L22" s="989">
        <v>77</v>
      </c>
      <c r="M22" s="989">
        <v>77</v>
      </c>
      <c r="N22" s="989"/>
      <c r="O22" s="1009"/>
      <c r="P22" s="1011"/>
      <c r="Q22" s="1011" t="s">
        <v>4136</v>
      </c>
      <c r="R22" s="1011"/>
      <c r="S22" s="1011"/>
      <c r="T22" s="1011"/>
      <c r="U22" s="1011"/>
      <c r="V22" s="1011"/>
    </row>
    <row r="23" spans="1:23" ht="25.5" hidden="1" customHeight="1">
      <c r="A23" s="1364"/>
      <c r="B23" s="1011" t="s">
        <v>3886</v>
      </c>
      <c r="C23" s="1365"/>
      <c r="D23" s="990" t="s">
        <v>471</v>
      </c>
      <c r="E23" s="1120"/>
      <c r="F23" s="1120"/>
      <c r="G23" s="1120"/>
      <c r="H23" s="989"/>
      <c r="I23" s="989"/>
      <c r="J23" s="1068"/>
      <c r="K23" s="989">
        <v>16.899999999999999</v>
      </c>
      <c r="L23" s="989">
        <v>16.899999999999999</v>
      </c>
      <c r="M23" s="989">
        <v>16.901</v>
      </c>
      <c r="N23" s="989"/>
      <c r="O23" s="1009"/>
      <c r="P23" s="1011"/>
      <c r="Q23" s="1011" t="s">
        <v>4137</v>
      </c>
      <c r="R23" s="1011"/>
      <c r="S23" s="1011"/>
      <c r="T23" s="1011"/>
      <c r="U23" s="1011"/>
      <c r="V23" s="1011"/>
    </row>
    <row r="24" spans="1:23" ht="25.5" hidden="1" customHeight="1">
      <c r="A24" s="1364"/>
      <c r="B24" s="1011" t="s">
        <v>3887</v>
      </c>
      <c r="C24" s="1365"/>
      <c r="D24" s="990" t="s">
        <v>471</v>
      </c>
      <c r="E24" s="1120"/>
      <c r="F24" s="1120"/>
      <c r="G24" s="1120"/>
      <c r="H24" s="989"/>
      <c r="I24" s="989"/>
      <c r="J24" s="1068"/>
      <c r="K24" s="989">
        <v>53.4</v>
      </c>
      <c r="L24" s="989">
        <v>53.3</v>
      </c>
      <c r="M24" s="989">
        <v>53.301000000000002</v>
      </c>
      <c r="N24" s="989"/>
      <c r="O24" s="1009"/>
      <c r="P24" s="1011"/>
      <c r="Q24" s="1011" t="s">
        <v>4138</v>
      </c>
      <c r="R24" s="1011"/>
      <c r="S24" s="1011"/>
      <c r="T24" s="1011"/>
      <c r="U24" s="1011"/>
      <c r="V24" s="1011"/>
    </row>
    <row r="25" spans="1:23" ht="71.25" customHeight="1">
      <c r="A25" s="1366" t="s">
        <v>2059</v>
      </c>
      <c r="B25" s="970" t="s">
        <v>1342</v>
      </c>
      <c r="C25" s="1367"/>
      <c r="D25" s="1017"/>
      <c r="E25" s="1094">
        <f>SUM(E28,E40,E42,E46,E52,E65)</f>
        <v>194.8</v>
      </c>
      <c r="F25" s="1368">
        <f>H25/E25-1</f>
        <v>1.3520790554414783</v>
      </c>
      <c r="G25" s="1094">
        <f>SUM(G28,G40,G42,G46,G52,G65)</f>
        <v>155</v>
      </c>
      <c r="H25" s="1095">
        <f>SUM(H28,H40,H42,H46,H52,H65)</f>
        <v>458.185</v>
      </c>
      <c r="I25" s="1096">
        <f>K25/H25-1</f>
        <v>0.35602649584774726</v>
      </c>
      <c r="J25" s="1094"/>
      <c r="K25" s="1095">
        <f>SUM(K28,K40,K42,K46,K52,K65)</f>
        <v>621.31100000000004</v>
      </c>
      <c r="L25" s="1095">
        <f>SUM(L28,L40,L42,L46,L52,L65)</f>
        <v>382.50299999999999</v>
      </c>
      <c r="M25" s="1095"/>
      <c r="N25" s="1095" t="s">
        <v>901</v>
      </c>
      <c r="O25" s="1369"/>
      <c r="P25" s="970" t="s">
        <v>1345</v>
      </c>
      <c r="Q25" s="970" t="s">
        <v>903</v>
      </c>
      <c r="R25" s="970" t="s">
        <v>1339</v>
      </c>
      <c r="S25" s="970" t="s">
        <v>1340</v>
      </c>
      <c r="T25" s="970" t="s">
        <v>142</v>
      </c>
      <c r="U25" s="970" t="s">
        <v>142</v>
      </c>
      <c r="V25" s="970" t="s">
        <v>903</v>
      </c>
    </row>
    <row r="26" spans="1:23" ht="27.75" customHeight="1">
      <c r="A26" s="2739" t="s">
        <v>2060</v>
      </c>
      <c r="B26" s="2367" t="s">
        <v>1334</v>
      </c>
      <c r="C26" s="2706">
        <v>188711925</v>
      </c>
      <c r="D26" s="1035" t="s">
        <v>471</v>
      </c>
      <c r="E26" s="1051">
        <v>43.8</v>
      </c>
      <c r="F26" s="1362">
        <f>H26/E26-1</f>
        <v>-0.31506849315068486</v>
      </c>
      <c r="G26" s="1051">
        <v>45</v>
      </c>
      <c r="H26" s="1053">
        <f>30</f>
        <v>30</v>
      </c>
      <c r="I26" s="1054">
        <f>K26/H26-1</f>
        <v>1.3666666666666667</v>
      </c>
      <c r="J26" s="1051">
        <f>SUM(J31,J32,J33,J34,J35,J36,J37,J38,J29,J30)</f>
        <v>91.5</v>
      </c>
      <c r="K26" s="1053">
        <f>SUM(K31,K32,K33,K34,K35,K36,K37,K38,K29,K30)</f>
        <v>71</v>
      </c>
      <c r="L26" s="1053">
        <f t="shared" ref="L26:M26" si="6">SUM(L31,L32,L33,L34,L35,L36,L37,L38,L29,L30)</f>
        <v>76</v>
      </c>
      <c r="M26" s="1053">
        <f t="shared" si="6"/>
        <v>81</v>
      </c>
      <c r="N26" s="2694" t="s">
        <v>2305</v>
      </c>
      <c r="O26" s="2349" t="s">
        <v>4151</v>
      </c>
      <c r="P26" s="2343" t="s">
        <v>1346</v>
      </c>
      <c r="Q26" s="2343" t="s">
        <v>1341</v>
      </c>
      <c r="R26" s="2343" t="s">
        <v>308</v>
      </c>
      <c r="S26" s="2343" t="s">
        <v>142</v>
      </c>
      <c r="T26" s="2343" t="s">
        <v>3397</v>
      </c>
      <c r="U26" s="2343" t="s">
        <v>1470</v>
      </c>
      <c r="V26" s="2343" t="s">
        <v>2306</v>
      </c>
      <c r="W26" s="304" t="s">
        <v>2713</v>
      </c>
    </row>
    <row r="27" spans="1:23" ht="27.75" customHeight="1">
      <c r="A27" s="2739"/>
      <c r="B27" s="2367"/>
      <c r="C27" s="2706"/>
      <c r="D27" s="1035" t="s">
        <v>2928</v>
      </c>
      <c r="E27" s="1051"/>
      <c r="F27" s="1362"/>
      <c r="G27" s="1051"/>
      <c r="H27" s="1053">
        <v>20</v>
      </c>
      <c r="I27" s="1053"/>
      <c r="J27" s="1051"/>
      <c r="K27" s="1053"/>
      <c r="L27" s="1053"/>
      <c r="M27" s="1053"/>
      <c r="N27" s="2695"/>
      <c r="O27" s="2363"/>
      <c r="P27" s="2345"/>
      <c r="Q27" s="2345"/>
      <c r="R27" s="2345"/>
      <c r="S27" s="2345"/>
      <c r="T27" s="2345"/>
      <c r="U27" s="2345"/>
      <c r="V27" s="2345"/>
    </row>
    <row r="28" spans="1:23" ht="50.25" customHeight="1">
      <c r="A28" s="2739"/>
      <c r="B28" s="2367"/>
      <c r="C28" s="2706"/>
      <c r="D28" s="1056" t="s">
        <v>1076</v>
      </c>
      <c r="E28" s="1057">
        <f>E26</f>
        <v>43.8</v>
      </c>
      <c r="F28" s="1407">
        <f>H28/E28-1</f>
        <v>0.14155251141552516</v>
      </c>
      <c r="G28" s="1057">
        <f t="shared" ref="G28" si="7">G26</f>
        <v>45</v>
      </c>
      <c r="H28" s="1059">
        <f>H26+H27</f>
        <v>50</v>
      </c>
      <c r="I28" s="1060">
        <f>K28/H28-1</f>
        <v>0.41999999999999993</v>
      </c>
      <c r="J28" s="1057">
        <f>SUM(J26,J27)</f>
        <v>91.5</v>
      </c>
      <c r="K28" s="1059">
        <f>SUM(K26,K27)</f>
        <v>71</v>
      </c>
      <c r="L28" s="1059">
        <f t="shared" ref="L28:M28" si="8">SUM(L26,L27)</f>
        <v>76</v>
      </c>
      <c r="M28" s="1059">
        <f t="shared" si="8"/>
        <v>81</v>
      </c>
      <c r="N28" s="2695"/>
      <c r="O28" s="2363"/>
      <c r="P28" s="2344"/>
      <c r="Q28" s="2344"/>
      <c r="R28" s="2344"/>
      <c r="S28" s="2344"/>
      <c r="T28" s="2344"/>
      <c r="U28" s="2344"/>
      <c r="V28" s="2344"/>
    </row>
    <row r="29" spans="1:23" ht="39.75" hidden="1" customHeight="1">
      <c r="A29" s="1370"/>
      <c r="B29" s="975" t="s">
        <v>3520</v>
      </c>
      <c r="C29" s="1371"/>
      <c r="D29" s="1189"/>
      <c r="E29" s="1005"/>
      <c r="F29" s="1126"/>
      <c r="G29" s="1005"/>
      <c r="H29" s="1005"/>
      <c r="I29" s="1005"/>
      <c r="J29" s="989">
        <v>50</v>
      </c>
      <c r="K29" s="989">
        <v>50</v>
      </c>
      <c r="L29" s="989">
        <v>50</v>
      </c>
      <c r="M29" s="989">
        <v>50</v>
      </c>
      <c r="N29" s="1005"/>
      <c r="O29" s="1009" t="s">
        <v>3889</v>
      </c>
      <c r="P29" s="1372"/>
      <c r="Q29" s="1373"/>
      <c r="R29" s="1373"/>
      <c r="S29" s="1373"/>
      <c r="T29" s="1373"/>
      <c r="U29" s="1373"/>
      <c r="V29" s="1374"/>
    </row>
    <row r="30" spans="1:23" ht="57" hidden="1" customHeight="1">
      <c r="A30" s="1370"/>
      <c r="B30" s="975" t="s">
        <v>3521</v>
      </c>
      <c r="C30" s="1371"/>
      <c r="D30" s="1189"/>
      <c r="E30" s="1005"/>
      <c r="F30" s="1126"/>
      <c r="G30" s="1005"/>
      <c r="H30" s="1005"/>
      <c r="I30" s="1005"/>
      <c r="J30" s="989">
        <v>15</v>
      </c>
      <c r="K30" s="989">
        <v>15</v>
      </c>
      <c r="L30" s="989">
        <v>20</v>
      </c>
      <c r="M30" s="989">
        <v>25</v>
      </c>
      <c r="N30" s="1005"/>
      <c r="O30" s="1009" t="s">
        <v>3519</v>
      </c>
      <c r="P30" s="2707"/>
      <c r="Q30" s="2708"/>
      <c r="R30" s="2708"/>
      <c r="S30" s="2708"/>
      <c r="T30" s="2708"/>
      <c r="U30" s="2708"/>
      <c r="V30" s="2709"/>
    </row>
    <row r="31" spans="1:23" ht="24.75" hidden="1" customHeight="1">
      <c r="A31" s="1370" t="s">
        <v>3532</v>
      </c>
      <c r="B31" s="975" t="s">
        <v>3534</v>
      </c>
      <c r="C31" s="1371"/>
      <c r="D31" s="1189"/>
      <c r="E31" s="1005"/>
      <c r="F31" s="1126"/>
      <c r="G31" s="1005"/>
      <c r="H31" s="989">
        <v>2</v>
      </c>
      <c r="I31" s="1075"/>
      <c r="J31" s="989">
        <f>2+5</f>
        <v>7</v>
      </c>
      <c r="K31" s="989">
        <v>6</v>
      </c>
      <c r="L31" s="989">
        <v>6</v>
      </c>
      <c r="M31" s="989">
        <v>6</v>
      </c>
      <c r="N31" s="1377"/>
      <c r="O31" s="963" t="s">
        <v>3267</v>
      </c>
      <c r="P31" s="2707"/>
      <c r="Q31" s="2708"/>
      <c r="R31" s="2708"/>
      <c r="S31" s="2708"/>
      <c r="T31" s="2708"/>
      <c r="U31" s="2708"/>
      <c r="V31" s="2709"/>
    </row>
    <row r="32" spans="1:23" ht="33.75" hidden="1" customHeight="1">
      <c r="A32" s="1370" t="s">
        <v>3532</v>
      </c>
      <c r="B32" s="975" t="s">
        <v>3260</v>
      </c>
      <c r="C32" s="1371"/>
      <c r="D32" s="1189"/>
      <c r="E32" s="1005"/>
      <c r="F32" s="1126"/>
      <c r="G32" s="1005"/>
      <c r="H32" s="989">
        <v>19</v>
      </c>
      <c r="I32" s="1075"/>
      <c r="J32" s="989">
        <v>19.5</v>
      </c>
      <c r="K32" s="1075">
        <v>0</v>
      </c>
      <c r="L32" s="989">
        <v>0</v>
      </c>
      <c r="M32" s="989">
        <v>0</v>
      </c>
      <c r="N32" s="1377"/>
      <c r="O32" s="957" t="s">
        <v>3268</v>
      </c>
      <c r="P32" s="2707"/>
      <c r="Q32" s="2708"/>
      <c r="R32" s="2708"/>
      <c r="S32" s="2708"/>
      <c r="T32" s="2708"/>
      <c r="U32" s="2708"/>
      <c r="V32" s="2709"/>
    </row>
    <row r="33" spans="1:23" ht="39" hidden="1" customHeight="1">
      <c r="A33" s="1004" t="s">
        <v>3533</v>
      </c>
      <c r="B33" s="975" t="s">
        <v>3261</v>
      </c>
      <c r="C33" s="1371"/>
      <c r="D33" s="1189"/>
      <c r="E33" s="1005"/>
      <c r="F33" s="1126"/>
      <c r="G33" s="1005"/>
      <c r="H33" s="989">
        <v>5</v>
      </c>
      <c r="I33" s="1075"/>
      <c r="J33" s="989">
        <v>0</v>
      </c>
      <c r="K33" s="1075"/>
      <c r="L33" s="989">
        <v>0</v>
      </c>
      <c r="M33" s="989">
        <v>0</v>
      </c>
      <c r="N33" s="1377"/>
      <c r="O33" s="1378" t="s">
        <v>3269</v>
      </c>
      <c r="P33" s="2707"/>
      <c r="Q33" s="2708"/>
      <c r="R33" s="2708"/>
      <c r="S33" s="2708"/>
      <c r="T33" s="2708"/>
      <c r="U33" s="2708"/>
      <c r="V33" s="2709"/>
    </row>
    <row r="34" spans="1:23" ht="43.9" hidden="1" customHeight="1">
      <c r="A34" s="1004" t="s">
        <v>3533</v>
      </c>
      <c r="B34" s="975" t="s">
        <v>3262</v>
      </c>
      <c r="C34" s="1371"/>
      <c r="D34" s="1189"/>
      <c r="E34" s="1005"/>
      <c r="F34" s="1126"/>
      <c r="G34" s="1005"/>
      <c r="H34" s="989">
        <v>3</v>
      </c>
      <c r="I34" s="1075"/>
      <c r="J34" s="989">
        <v>0</v>
      </c>
      <c r="K34" s="1075"/>
      <c r="L34" s="989">
        <v>0</v>
      </c>
      <c r="M34" s="989">
        <v>0</v>
      </c>
      <c r="N34" s="1377"/>
      <c r="O34" s="1378" t="s">
        <v>3270</v>
      </c>
      <c r="P34" s="2707"/>
      <c r="Q34" s="2708"/>
      <c r="R34" s="2708"/>
      <c r="S34" s="2708"/>
      <c r="T34" s="2708"/>
      <c r="U34" s="2708"/>
      <c r="V34" s="2709"/>
    </row>
    <row r="35" spans="1:23" ht="30.6" hidden="1" customHeight="1">
      <c r="A35" s="1004" t="s">
        <v>3533</v>
      </c>
      <c r="B35" s="975" t="s">
        <v>3263</v>
      </c>
      <c r="C35" s="1371"/>
      <c r="D35" s="1189"/>
      <c r="E35" s="1005"/>
      <c r="F35" s="1126"/>
      <c r="G35" s="1005"/>
      <c r="H35" s="989">
        <v>1</v>
      </c>
      <c r="I35" s="1075"/>
      <c r="J35" s="989">
        <v>0</v>
      </c>
      <c r="K35" s="1075"/>
      <c r="L35" s="989">
        <v>0</v>
      </c>
      <c r="M35" s="989">
        <v>0</v>
      </c>
      <c r="N35" s="1377"/>
      <c r="O35" s="1378" t="s">
        <v>3271</v>
      </c>
      <c r="P35" s="2707"/>
      <c r="Q35" s="2708"/>
      <c r="R35" s="2708"/>
      <c r="S35" s="2708"/>
      <c r="T35" s="2708"/>
      <c r="U35" s="2708"/>
      <c r="V35" s="2709"/>
    </row>
    <row r="36" spans="1:23" ht="24.6" hidden="1" customHeight="1">
      <c r="A36" s="1370"/>
      <c r="B36" s="975" t="s">
        <v>3264</v>
      </c>
      <c r="C36" s="1371"/>
      <c r="D36" s="1189"/>
      <c r="E36" s="1005"/>
      <c r="F36" s="1126"/>
      <c r="G36" s="1005"/>
      <c r="H36" s="989">
        <v>5</v>
      </c>
      <c r="I36" s="1075"/>
      <c r="J36" s="989">
        <v>0</v>
      </c>
      <c r="K36" s="1075"/>
      <c r="L36" s="989">
        <v>0</v>
      </c>
      <c r="M36" s="989">
        <v>0</v>
      </c>
      <c r="N36" s="1377"/>
      <c r="O36" s="1378" t="s">
        <v>3272</v>
      </c>
      <c r="P36" s="2707"/>
      <c r="Q36" s="2708"/>
      <c r="R36" s="2708"/>
      <c r="S36" s="2708"/>
      <c r="T36" s="2708"/>
      <c r="U36" s="2708"/>
      <c r="V36" s="2709"/>
    </row>
    <row r="37" spans="1:23" ht="22.9" hidden="1" customHeight="1">
      <c r="A37" s="1370" t="s">
        <v>3535</v>
      </c>
      <c r="B37" s="975" t="s">
        <v>3265</v>
      </c>
      <c r="C37" s="1371"/>
      <c r="D37" s="1189"/>
      <c r="E37" s="1005"/>
      <c r="F37" s="1126"/>
      <c r="G37" s="1005"/>
      <c r="H37" s="989">
        <v>10</v>
      </c>
      <c r="I37" s="1075"/>
      <c r="J37" s="989">
        <v>0</v>
      </c>
      <c r="K37" s="1075"/>
      <c r="L37" s="989">
        <v>0</v>
      </c>
      <c r="M37" s="989">
        <v>0</v>
      </c>
      <c r="N37" s="1377"/>
      <c r="O37" s="1378" t="s">
        <v>3273</v>
      </c>
      <c r="P37" s="2707"/>
      <c r="Q37" s="2708"/>
      <c r="R37" s="2708"/>
      <c r="S37" s="2708"/>
      <c r="T37" s="2708"/>
      <c r="U37" s="2708"/>
      <c r="V37" s="2709"/>
    </row>
    <row r="38" spans="1:23" ht="21.6" hidden="1" customHeight="1">
      <c r="A38" s="1370"/>
      <c r="B38" s="975" t="s">
        <v>3266</v>
      </c>
      <c r="C38" s="1371"/>
      <c r="D38" s="1189"/>
      <c r="E38" s="1005"/>
      <c r="F38" s="1126"/>
      <c r="G38" s="1005"/>
      <c r="H38" s="989">
        <v>30</v>
      </c>
      <c r="I38" s="1075"/>
      <c r="J38" s="989"/>
      <c r="K38" s="1075"/>
      <c r="L38" s="989"/>
      <c r="M38" s="989"/>
      <c r="N38" s="1377"/>
      <c r="O38" s="1379" t="s">
        <v>3274</v>
      </c>
      <c r="P38" s="2710"/>
      <c r="Q38" s="2711"/>
      <c r="R38" s="2711"/>
      <c r="S38" s="2711"/>
      <c r="T38" s="2711"/>
      <c r="U38" s="2711"/>
      <c r="V38" s="2712"/>
    </row>
    <row r="39" spans="1:23" ht="26.25" customHeight="1">
      <c r="A39" s="2739" t="s">
        <v>2061</v>
      </c>
      <c r="B39" s="2367" t="s">
        <v>3050</v>
      </c>
      <c r="C39" s="2706">
        <v>188711925</v>
      </c>
      <c r="D39" s="1035" t="s">
        <v>471</v>
      </c>
      <c r="E39" s="1051">
        <v>40</v>
      </c>
      <c r="F39" s="1362">
        <f>H39/E39-1</f>
        <v>0.5</v>
      </c>
      <c r="G39" s="1051">
        <v>40</v>
      </c>
      <c r="H39" s="1171">
        <v>60</v>
      </c>
      <c r="I39" s="1408">
        <f>K39/H39-1</f>
        <v>-0.48333333333333328</v>
      </c>
      <c r="J39" s="1321">
        <v>31</v>
      </c>
      <c r="K39" s="1171">
        <v>31</v>
      </c>
      <c r="L39" s="1053">
        <v>0</v>
      </c>
      <c r="M39" s="1053">
        <v>0</v>
      </c>
      <c r="N39" s="2694" t="s">
        <v>2307</v>
      </c>
      <c r="O39" s="2349" t="s">
        <v>3890</v>
      </c>
      <c r="P39" s="2343" t="s">
        <v>1347</v>
      </c>
      <c r="Q39" s="2343" t="s">
        <v>3891</v>
      </c>
      <c r="R39" s="2343" t="s">
        <v>434</v>
      </c>
      <c r="S39" s="2343" t="s">
        <v>324</v>
      </c>
      <c r="T39" s="2343" t="s">
        <v>434</v>
      </c>
      <c r="U39" s="2343" t="s">
        <v>434</v>
      </c>
      <c r="V39" s="2343" t="s">
        <v>3048</v>
      </c>
    </row>
    <row r="40" spans="1:23" ht="41.25" customHeight="1">
      <c r="A40" s="2739"/>
      <c r="B40" s="2367"/>
      <c r="C40" s="2706"/>
      <c r="D40" s="1056" t="s">
        <v>1076</v>
      </c>
      <c r="E40" s="1057">
        <f>E39</f>
        <v>40</v>
      </c>
      <c r="F40" s="1407">
        <f t="shared" ref="F40:M40" si="9">F39</f>
        <v>0.5</v>
      </c>
      <c r="G40" s="1057">
        <f t="shared" si="9"/>
        <v>40</v>
      </c>
      <c r="H40" s="1059">
        <f t="shared" si="9"/>
        <v>60</v>
      </c>
      <c r="I40" s="1060">
        <f t="shared" ref="I40:I42" si="10">K40/H40-1</f>
        <v>-0.48333333333333328</v>
      </c>
      <c r="J40" s="1057">
        <f t="shared" si="9"/>
        <v>31</v>
      </c>
      <c r="K40" s="1059">
        <f t="shared" si="9"/>
        <v>31</v>
      </c>
      <c r="L40" s="1059">
        <f t="shared" si="9"/>
        <v>0</v>
      </c>
      <c r="M40" s="1059">
        <f t="shared" si="9"/>
        <v>0</v>
      </c>
      <c r="N40" s="2695"/>
      <c r="O40" s="2350"/>
      <c r="P40" s="2344"/>
      <c r="Q40" s="2344"/>
      <c r="R40" s="2344"/>
      <c r="S40" s="2344"/>
      <c r="T40" s="2344"/>
      <c r="U40" s="2344"/>
      <c r="V40" s="2345"/>
      <c r="W40" s="164" t="s">
        <v>2714</v>
      </c>
    </row>
    <row r="41" spans="1:23" ht="31.5" customHeight="1">
      <c r="A41" s="2745" t="s">
        <v>2062</v>
      </c>
      <c r="B41" s="2753" t="s">
        <v>3548</v>
      </c>
      <c r="C41" s="2720">
        <v>188711925</v>
      </c>
      <c r="D41" s="1098" t="s">
        <v>471</v>
      </c>
      <c r="E41" s="1099">
        <v>12</v>
      </c>
      <c r="F41" s="1361">
        <f>H41/E41-1</f>
        <v>17.333333333333332</v>
      </c>
      <c r="G41" s="1099">
        <v>30</v>
      </c>
      <c r="H41" s="1100">
        <v>220</v>
      </c>
      <c r="I41" s="1149">
        <f t="shared" si="10"/>
        <v>0</v>
      </c>
      <c r="J41" s="1099">
        <v>30</v>
      </c>
      <c r="K41" s="1100">
        <f>SUM(K43,K44)</f>
        <v>220</v>
      </c>
      <c r="L41" s="1100">
        <f t="shared" ref="L41:M41" si="11">SUM(L43,L44)</f>
        <v>220</v>
      </c>
      <c r="M41" s="1100">
        <f t="shared" si="11"/>
        <v>220</v>
      </c>
      <c r="N41" s="2695"/>
      <c r="O41" s="2349" t="s">
        <v>3892</v>
      </c>
      <c r="P41" s="2343" t="s">
        <v>1348</v>
      </c>
      <c r="Q41" s="2343" t="s">
        <v>1337</v>
      </c>
      <c r="R41" s="2343" t="s">
        <v>1349</v>
      </c>
      <c r="S41" s="2343" t="s">
        <v>1349</v>
      </c>
      <c r="T41" s="2343" t="s">
        <v>1349</v>
      </c>
      <c r="U41" s="2343" t="s">
        <v>1349</v>
      </c>
      <c r="V41" s="2345"/>
    </row>
    <row r="42" spans="1:23" ht="44.25" customHeight="1">
      <c r="A42" s="2746"/>
      <c r="B42" s="2753"/>
      <c r="C42" s="2752"/>
      <c r="D42" s="1087" t="s">
        <v>1076</v>
      </c>
      <c r="E42" s="1088">
        <f>E41</f>
        <v>12</v>
      </c>
      <c r="F42" s="1363">
        <f>H42/E42-1</f>
        <v>17.333333333333332</v>
      </c>
      <c r="G42" s="1088">
        <f t="shared" ref="G42:M42" si="12">G41</f>
        <v>30</v>
      </c>
      <c r="H42" s="1089">
        <f t="shared" ref="H42" si="13">H41</f>
        <v>220</v>
      </c>
      <c r="I42" s="1060">
        <f t="shared" si="10"/>
        <v>0</v>
      </c>
      <c r="J42" s="1057">
        <f>J41</f>
        <v>30</v>
      </c>
      <c r="K42" s="1059">
        <f t="shared" si="12"/>
        <v>220</v>
      </c>
      <c r="L42" s="1059">
        <f t="shared" si="12"/>
        <v>220</v>
      </c>
      <c r="M42" s="1059">
        <f t="shared" si="12"/>
        <v>220</v>
      </c>
      <c r="N42" s="2695"/>
      <c r="O42" s="2350"/>
      <c r="P42" s="2344"/>
      <c r="Q42" s="2344"/>
      <c r="R42" s="2344"/>
      <c r="S42" s="2344"/>
      <c r="T42" s="2344"/>
      <c r="U42" s="2344"/>
      <c r="V42" s="2345"/>
    </row>
    <row r="43" spans="1:23" ht="37.15" hidden="1" customHeight="1">
      <c r="A43" s="1380"/>
      <c r="B43" s="975" t="s">
        <v>3547</v>
      </c>
      <c r="C43" s="1381"/>
      <c r="D43" s="1382"/>
      <c r="E43" s="1134"/>
      <c r="F43" s="1383"/>
      <c r="G43" s="1134"/>
      <c r="H43" s="1134"/>
      <c r="I43" s="1005"/>
      <c r="J43" s="989">
        <v>30</v>
      </c>
      <c r="K43" s="989">
        <v>20</v>
      </c>
      <c r="L43" s="989">
        <v>20</v>
      </c>
      <c r="M43" s="989">
        <v>20</v>
      </c>
      <c r="N43" s="2695"/>
      <c r="O43" s="1009" t="s">
        <v>3519</v>
      </c>
      <c r="P43" s="1384"/>
      <c r="Q43" s="1384"/>
      <c r="R43" s="1384"/>
      <c r="S43" s="1384"/>
      <c r="T43" s="1384"/>
      <c r="U43" s="1384"/>
      <c r="V43" s="2345"/>
    </row>
    <row r="44" spans="1:23" ht="36" hidden="1" customHeight="1">
      <c r="A44" s="1380"/>
      <c r="B44" s="975" t="s">
        <v>1813</v>
      </c>
      <c r="C44" s="1381"/>
      <c r="D44" s="1382"/>
      <c r="E44" s="1134"/>
      <c r="F44" s="1383"/>
      <c r="G44" s="1134"/>
      <c r="H44" s="1134"/>
      <c r="I44" s="1005"/>
      <c r="J44" s="989"/>
      <c r="K44" s="989">
        <v>200</v>
      </c>
      <c r="L44" s="989">
        <v>200</v>
      </c>
      <c r="M44" s="989">
        <v>200</v>
      </c>
      <c r="N44" s="2695"/>
      <c r="O44" s="1184" t="s">
        <v>3901</v>
      </c>
      <c r="P44" s="1384"/>
      <c r="Q44" s="1384"/>
      <c r="R44" s="1384"/>
      <c r="S44" s="1384"/>
      <c r="T44" s="1384"/>
      <c r="U44" s="1384"/>
      <c r="V44" s="2345"/>
    </row>
    <row r="45" spans="1:23" s="508" customFormat="1" ht="37.15" hidden="1" customHeight="1">
      <c r="A45" s="2737" t="s">
        <v>2063</v>
      </c>
      <c r="B45" s="2758" t="s">
        <v>3276</v>
      </c>
      <c r="C45" s="2713">
        <v>188711925</v>
      </c>
      <c r="D45" s="1385" t="s">
        <v>471</v>
      </c>
      <c r="E45" s="1051">
        <v>2</v>
      </c>
      <c r="F45" s="1362">
        <f t="shared" ref="F45:F79" si="14">H45/E45-1</f>
        <v>-1</v>
      </c>
      <c r="G45" s="1051"/>
      <c r="H45" s="1051"/>
      <c r="I45" s="1051"/>
      <c r="J45" s="1051"/>
      <c r="K45" s="1051"/>
      <c r="L45" s="1051"/>
      <c r="M45" s="1051"/>
      <c r="N45" s="2695"/>
      <c r="O45" s="2726"/>
      <c r="P45" s="2697" t="s">
        <v>1350</v>
      </c>
      <c r="Q45" s="2697" t="s">
        <v>1737</v>
      </c>
      <c r="R45" s="2697" t="s">
        <v>434</v>
      </c>
      <c r="S45" s="2697" t="s">
        <v>434</v>
      </c>
      <c r="T45" s="2697" t="s">
        <v>434</v>
      </c>
      <c r="U45" s="2697"/>
      <c r="V45" s="2345"/>
    </row>
    <row r="46" spans="1:23" s="508" customFormat="1" ht="51.6" hidden="1" customHeight="1">
      <c r="A46" s="2738"/>
      <c r="B46" s="2759"/>
      <c r="C46" s="2714"/>
      <c r="D46" s="1386" t="s">
        <v>1076</v>
      </c>
      <c r="E46" s="1088">
        <f>E45</f>
        <v>2</v>
      </c>
      <c r="F46" s="1363">
        <f t="shared" si="14"/>
        <v>-1</v>
      </c>
      <c r="G46" s="1088">
        <f t="shared" ref="G46:L46" si="15">G45</f>
        <v>0</v>
      </c>
      <c r="H46" s="1088">
        <f t="shared" ref="H46" si="16">H45</f>
        <v>0</v>
      </c>
      <c r="I46" s="1057"/>
      <c r="J46" s="1057"/>
      <c r="K46" s="1057">
        <f t="shared" si="15"/>
        <v>0</v>
      </c>
      <c r="L46" s="1057">
        <f t="shared" si="15"/>
        <v>0</v>
      </c>
      <c r="M46" s="1057"/>
      <c r="N46" s="2695"/>
      <c r="O46" s="2437"/>
      <c r="P46" s="2698"/>
      <c r="Q46" s="2698"/>
      <c r="R46" s="2698"/>
      <c r="S46" s="2698"/>
      <c r="T46" s="2698"/>
      <c r="U46" s="2698"/>
      <c r="V46" s="2345"/>
    </row>
    <row r="47" spans="1:23" ht="32.25" customHeight="1">
      <c r="A47" s="2730" t="s">
        <v>2064</v>
      </c>
      <c r="B47" s="2724" t="s">
        <v>1189</v>
      </c>
      <c r="C47" s="2722" t="s">
        <v>3275</v>
      </c>
      <c r="D47" s="1082" t="s">
        <v>2928</v>
      </c>
      <c r="E47" s="1051">
        <v>62</v>
      </c>
      <c r="F47" s="1362">
        <f t="shared" si="14"/>
        <v>0.63201612903225812</v>
      </c>
      <c r="G47" s="1051"/>
      <c r="H47" s="1053">
        <f>H53</f>
        <v>101.185</v>
      </c>
      <c r="I47" s="1054">
        <f t="shared" ref="I47:I52" si="17">K47/H47-1</f>
        <v>1.3716459949597275</v>
      </c>
      <c r="J47" s="1051">
        <f>SUM(J53,J56)</f>
        <v>0</v>
      </c>
      <c r="K47" s="1053">
        <f>SUM(K53,K56,K61)</f>
        <v>239.97500000000002</v>
      </c>
      <c r="L47" s="1053"/>
      <c r="M47" s="1053"/>
      <c r="N47" s="2695"/>
      <c r="O47" s="2349" t="s">
        <v>3443</v>
      </c>
      <c r="P47" s="2343" t="s">
        <v>1351</v>
      </c>
      <c r="Q47" s="2343" t="s">
        <v>4062</v>
      </c>
      <c r="R47" s="2343" t="s">
        <v>433</v>
      </c>
      <c r="S47" s="2343" t="s">
        <v>1409</v>
      </c>
      <c r="T47" s="2343" t="s">
        <v>1409</v>
      </c>
      <c r="U47" s="2343" t="s">
        <v>1409</v>
      </c>
      <c r="V47" s="2345"/>
    </row>
    <row r="48" spans="1:23" ht="29.25" customHeight="1">
      <c r="A48" s="2731"/>
      <c r="B48" s="2725"/>
      <c r="C48" s="2723"/>
      <c r="D48" s="1387" t="s">
        <v>471</v>
      </c>
      <c r="E48" s="1112"/>
      <c r="F48" s="1388"/>
      <c r="G48" s="1112"/>
      <c r="H48" s="1162"/>
      <c r="I48" s="1054"/>
      <c r="J48" s="1051"/>
      <c r="K48" s="1053"/>
      <c r="L48" s="1053">
        <f>L57</f>
        <v>50.603000000000002</v>
      </c>
      <c r="M48" s="1053"/>
      <c r="N48" s="2695"/>
      <c r="O48" s="2363"/>
      <c r="P48" s="2345"/>
      <c r="Q48" s="2345"/>
      <c r="R48" s="2345"/>
      <c r="S48" s="2345"/>
      <c r="T48" s="2345"/>
      <c r="U48" s="2345"/>
      <c r="V48" s="2345"/>
    </row>
    <row r="49" spans="1:22" ht="30" customHeight="1">
      <c r="A49" s="2731"/>
      <c r="B49" s="2725"/>
      <c r="C49" s="2723"/>
      <c r="D49" s="1387" t="s">
        <v>246</v>
      </c>
      <c r="E49" s="1112"/>
      <c r="F49" s="1388"/>
      <c r="G49" s="1112"/>
      <c r="H49" s="1162"/>
      <c r="I49" s="1054"/>
      <c r="J49" s="1051"/>
      <c r="K49" s="1053">
        <f>K62</f>
        <v>23.436</v>
      </c>
      <c r="L49" s="1053"/>
      <c r="M49" s="1053"/>
      <c r="N49" s="2695"/>
      <c r="O49" s="2363"/>
      <c r="P49" s="2345"/>
      <c r="Q49" s="2345"/>
      <c r="R49" s="2345"/>
      <c r="S49" s="2345"/>
      <c r="T49" s="2345"/>
      <c r="U49" s="2345"/>
      <c r="V49" s="2345"/>
    </row>
    <row r="50" spans="1:22" ht="31.5" customHeight="1">
      <c r="A50" s="2731"/>
      <c r="B50" s="2725"/>
      <c r="C50" s="2723"/>
      <c r="D50" s="1389" t="s">
        <v>4053</v>
      </c>
      <c r="E50" s="1112"/>
      <c r="F50" s="1388"/>
      <c r="G50" s="1112"/>
      <c r="H50" s="1162">
        <f>H54</f>
        <v>0</v>
      </c>
      <c r="I50" s="1054"/>
      <c r="J50" s="1051"/>
      <c r="K50" s="1053">
        <f>SUM(K54,K59,)</f>
        <v>0</v>
      </c>
      <c r="L50" s="1051"/>
      <c r="M50" s="1053"/>
      <c r="N50" s="2695"/>
      <c r="O50" s="2363"/>
      <c r="P50" s="2345"/>
      <c r="Q50" s="2345"/>
      <c r="R50" s="2345"/>
      <c r="S50" s="2345"/>
      <c r="T50" s="2345"/>
      <c r="U50" s="2345"/>
      <c r="V50" s="2345"/>
    </row>
    <row r="51" spans="1:22" ht="29.25" customHeight="1">
      <c r="A51" s="2731"/>
      <c r="B51" s="2725"/>
      <c r="C51" s="2723"/>
      <c r="D51" s="1389" t="s">
        <v>1394</v>
      </c>
      <c r="E51" s="1112"/>
      <c r="F51" s="1409"/>
      <c r="G51" s="1112"/>
      <c r="H51" s="1162"/>
      <c r="I51" s="1410"/>
      <c r="J51" s="1112"/>
      <c r="K51" s="1162"/>
      <c r="L51" s="1162"/>
      <c r="M51" s="1162">
        <v>40.002000000000002</v>
      </c>
      <c r="N51" s="2695"/>
      <c r="O51" s="2363"/>
      <c r="P51" s="2345"/>
      <c r="Q51" s="2345"/>
      <c r="R51" s="2345"/>
      <c r="S51" s="2345"/>
      <c r="T51" s="2345"/>
      <c r="U51" s="2345"/>
      <c r="V51" s="2345"/>
    </row>
    <row r="52" spans="1:22" ht="30.75" customHeight="1">
      <c r="A52" s="2732"/>
      <c r="B52" s="2725"/>
      <c r="C52" s="2723"/>
      <c r="D52" s="1087" t="s">
        <v>1076</v>
      </c>
      <c r="E52" s="1088">
        <f>E47</f>
        <v>62</v>
      </c>
      <c r="F52" s="1363">
        <f t="shared" si="14"/>
        <v>0.63201612903225812</v>
      </c>
      <c r="G52" s="1088">
        <f t="shared" ref="G52" si="18">G47</f>
        <v>0</v>
      </c>
      <c r="H52" s="1089">
        <f>H47+H50</f>
        <v>101.185</v>
      </c>
      <c r="I52" s="1358">
        <f t="shared" si="17"/>
        <v>1.603261352967337</v>
      </c>
      <c r="J52" s="1088">
        <f>J47+J50</f>
        <v>0</v>
      </c>
      <c r="K52" s="1089">
        <f>K47+K50+K49</f>
        <v>263.411</v>
      </c>
      <c r="L52" s="1089">
        <f>L47+L50+L49+L48</f>
        <v>50.603000000000002</v>
      </c>
      <c r="M52" s="1089">
        <f>M47+M50+M49+M48+M51</f>
        <v>40.002000000000002</v>
      </c>
      <c r="N52" s="2695"/>
      <c r="O52" s="2363"/>
      <c r="P52" s="2345"/>
      <c r="Q52" s="2345"/>
      <c r="R52" s="2345"/>
      <c r="S52" s="2345"/>
      <c r="T52" s="2345"/>
      <c r="U52" s="2345"/>
      <c r="V52" s="2345"/>
    </row>
    <row r="53" spans="1:22" ht="38.25" hidden="1" customHeight="1">
      <c r="A53" s="2733" t="s">
        <v>3439</v>
      </c>
      <c r="B53" s="2702" t="s">
        <v>3441</v>
      </c>
      <c r="C53" s="2736">
        <v>302452911</v>
      </c>
      <c r="D53" s="1072" t="s">
        <v>2928</v>
      </c>
      <c r="E53" s="1068">
        <v>62</v>
      </c>
      <c r="F53" s="1394">
        <f t="shared" ref="F53:F55" si="19">H53/E53-1</f>
        <v>0.63201612903225812</v>
      </c>
      <c r="G53" s="1068"/>
      <c r="H53" s="989">
        <v>101.185</v>
      </c>
      <c r="I53" s="989"/>
      <c r="J53" s="1068"/>
      <c r="K53" s="1395">
        <f>100.584+99.5</f>
        <v>200.084</v>
      </c>
      <c r="L53" s="989"/>
      <c r="M53" s="989"/>
      <c r="N53" s="2695"/>
      <c r="O53" s="2705" t="s">
        <v>3444</v>
      </c>
      <c r="P53" s="2345"/>
      <c r="Q53" s="2345"/>
      <c r="R53" s="2345"/>
      <c r="S53" s="2345"/>
      <c r="T53" s="2345"/>
      <c r="U53" s="2345"/>
      <c r="V53" s="2345"/>
    </row>
    <row r="54" spans="1:22" ht="39.6" hidden="1" customHeight="1">
      <c r="A54" s="2734"/>
      <c r="B54" s="2703"/>
      <c r="C54" s="2463"/>
      <c r="D54" s="961" t="s">
        <v>3082</v>
      </c>
      <c r="E54" s="1398"/>
      <c r="F54" s="1399"/>
      <c r="G54" s="1398"/>
      <c r="H54" s="989">
        <v>0</v>
      </c>
      <c r="I54" s="989"/>
      <c r="J54" s="1068"/>
      <c r="K54" s="989"/>
      <c r="L54" s="989"/>
      <c r="M54" s="989"/>
      <c r="N54" s="2695"/>
      <c r="O54" s="2705"/>
      <c r="P54" s="2345"/>
      <c r="Q54" s="2345"/>
      <c r="R54" s="2345"/>
      <c r="S54" s="2345"/>
      <c r="T54" s="2345"/>
      <c r="U54" s="2345"/>
      <c r="V54" s="2345"/>
    </row>
    <row r="55" spans="1:22" ht="43.5" hidden="1" customHeight="1">
      <c r="A55" s="2735"/>
      <c r="B55" s="2704"/>
      <c r="C55" s="2463"/>
      <c r="D55" s="1401" t="s">
        <v>1076</v>
      </c>
      <c r="E55" s="1402">
        <f>E53</f>
        <v>62</v>
      </c>
      <c r="F55" s="1403">
        <f t="shared" si="19"/>
        <v>0.63201612903225812</v>
      </c>
      <c r="G55" s="1402">
        <f t="shared" ref="G55" si="20">G53</f>
        <v>0</v>
      </c>
      <c r="H55" s="1404">
        <f>SUM(H53,H54)</f>
        <v>101.185</v>
      </c>
      <c r="I55" s="1405"/>
      <c r="J55" s="1406"/>
      <c r="K55" s="1405">
        <f>SUM(K53,K54)</f>
        <v>200.084</v>
      </c>
      <c r="L55" s="1405">
        <f t="shared" ref="L55:M55" si="21">SUM(L53,L54)</f>
        <v>0</v>
      </c>
      <c r="M55" s="1405">
        <f t="shared" si="21"/>
        <v>0</v>
      </c>
      <c r="N55" s="2695"/>
      <c r="O55" s="2705"/>
      <c r="P55" s="2344"/>
      <c r="Q55" s="2344"/>
      <c r="R55" s="2344"/>
      <c r="S55" s="2344"/>
      <c r="T55" s="2344"/>
      <c r="U55" s="2344"/>
      <c r="V55" s="2345"/>
    </row>
    <row r="56" spans="1:22" ht="27" hidden="1" customHeight="1">
      <c r="A56" s="2733" t="s">
        <v>3440</v>
      </c>
      <c r="B56" s="2702" t="s">
        <v>3442</v>
      </c>
      <c r="C56" s="2736">
        <v>302452911</v>
      </c>
      <c r="D56" s="1072" t="s">
        <v>2928</v>
      </c>
      <c r="E56" s="1068">
        <v>62</v>
      </c>
      <c r="F56" s="1394">
        <f t="shared" ref="F56" si="22">H56/E56-1</f>
        <v>-1</v>
      </c>
      <c r="G56" s="1068"/>
      <c r="H56" s="989"/>
      <c r="I56" s="989"/>
      <c r="J56" s="1068"/>
      <c r="K56" s="1395">
        <v>37.186999999999998</v>
      </c>
      <c r="L56" s="989"/>
      <c r="M56" s="989"/>
      <c r="N56" s="2695"/>
      <c r="O56" s="2699" t="s">
        <v>3900</v>
      </c>
      <c r="P56" s="2760"/>
      <c r="Q56" s="2761"/>
      <c r="R56" s="2761"/>
      <c r="S56" s="2761"/>
      <c r="T56" s="2761"/>
      <c r="U56" s="2762"/>
      <c r="V56" s="2345"/>
    </row>
    <row r="57" spans="1:22" ht="27" hidden="1" customHeight="1">
      <c r="A57" s="2734"/>
      <c r="B57" s="2703"/>
      <c r="C57" s="2463"/>
      <c r="D57" s="1141" t="s">
        <v>471</v>
      </c>
      <c r="E57" s="1398"/>
      <c r="F57" s="1399"/>
      <c r="G57" s="1398"/>
      <c r="H57" s="989"/>
      <c r="I57" s="989"/>
      <c r="J57" s="1068"/>
      <c r="K57" s="989"/>
      <c r="L57" s="1395">
        <v>50.603000000000002</v>
      </c>
      <c r="M57" s="989"/>
      <c r="N57" s="2695"/>
      <c r="O57" s="2700"/>
      <c r="P57" s="2763"/>
      <c r="Q57" s="2764"/>
      <c r="R57" s="2764"/>
      <c r="S57" s="2764"/>
      <c r="T57" s="2764"/>
      <c r="U57" s="2765"/>
      <c r="V57" s="2345"/>
    </row>
    <row r="58" spans="1:22" ht="27" hidden="1" customHeight="1">
      <c r="A58" s="2734"/>
      <c r="B58" s="2703"/>
      <c r="C58" s="2463"/>
      <c r="D58" s="1141" t="s">
        <v>1394</v>
      </c>
      <c r="E58" s="1398"/>
      <c r="F58" s="1399"/>
      <c r="G58" s="1398"/>
      <c r="H58" s="989"/>
      <c r="I58" s="989"/>
      <c r="J58" s="1068"/>
      <c r="K58" s="989"/>
      <c r="L58" s="989"/>
      <c r="M58" s="989"/>
      <c r="N58" s="2695"/>
      <c r="O58" s="2700"/>
      <c r="P58" s="2763"/>
      <c r="Q58" s="2764"/>
      <c r="R58" s="2764"/>
      <c r="S58" s="2764"/>
      <c r="T58" s="2764"/>
      <c r="U58" s="2765"/>
      <c r="V58" s="2345"/>
    </row>
    <row r="59" spans="1:22" ht="24.75" hidden="1" customHeight="1">
      <c r="A59" s="2734"/>
      <c r="B59" s="2703"/>
      <c r="C59" s="2463"/>
      <c r="D59" s="961" t="s">
        <v>3082</v>
      </c>
      <c r="E59" s="1398"/>
      <c r="F59" s="1399"/>
      <c r="G59" s="1398"/>
      <c r="H59" s="989"/>
      <c r="I59" s="989"/>
      <c r="J59" s="1068"/>
      <c r="K59" s="989"/>
      <c r="L59" s="989"/>
      <c r="M59" s="989"/>
      <c r="N59" s="2695"/>
      <c r="O59" s="2700"/>
      <c r="P59" s="2763"/>
      <c r="Q59" s="2764"/>
      <c r="R59" s="2764"/>
      <c r="S59" s="2764"/>
      <c r="T59" s="2764"/>
      <c r="U59" s="2765"/>
      <c r="V59" s="2345"/>
    </row>
    <row r="60" spans="1:22" ht="27.75" hidden="1" customHeight="1">
      <c r="A60" s="2735"/>
      <c r="B60" s="2704"/>
      <c r="C60" s="2463"/>
      <c r="D60" s="1401" t="s">
        <v>1076</v>
      </c>
      <c r="E60" s="1402">
        <f>E56</f>
        <v>62</v>
      </c>
      <c r="F60" s="1403">
        <f t="shared" ref="F60:F61" si="23">H60/E60-1</f>
        <v>-1</v>
      </c>
      <c r="G60" s="1402">
        <f t="shared" ref="G60" si="24">G56</f>
        <v>0</v>
      </c>
      <c r="H60" s="1404">
        <f>SUM(H56,H59)</f>
        <v>0</v>
      </c>
      <c r="I60" s="1404"/>
      <c r="J60" s="1402"/>
      <c r="K60" s="1404">
        <f>SUM(K56,K59)</f>
        <v>37.186999999999998</v>
      </c>
      <c r="L60" s="1404">
        <f t="shared" ref="L60:M60" si="25">SUM(L56,L59)</f>
        <v>0</v>
      </c>
      <c r="M60" s="1404">
        <f t="shared" si="25"/>
        <v>0</v>
      </c>
      <c r="N60" s="2695"/>
      <c r="O60" s="2701"/>
      <c r="P60" s="2766"/>
      <c r="Q60" s="2767"/>
      <c r="R60" s="2767"/>
      <c r="S60" s="2767"/>
      <c r="T60" s="2767"/>
      <c r="U60" s="2768"/>
      <c r="V60" s="2345"/>
    </row>
    <row r="61" spans="1:22" ht="26.25" hidden="1" customHeight="1">
      <c r="A61" s="2733" t="s">
        <v>3898</v>
      </c>
      <c r="B61" s="2702" t="s">
        <v>3897</v>
      </c>
      <c r="C61" s="2736" t="s">
        <v>3281</v>
      </c>
      <c r="D61" s="1072" t="s">
        <v>2928</v>
      </c>
      <c r="E61" s="1068">
        <v>62</v>
      </c>
      <c r="F61" s="1394">
        <f t="shared" si="23"/>
        <v>-1</v>
      </c>
      <c r="G61" s="1068"/>
      <c r="H61" s="989"/>
      <c r="I61" s="989"/>
      <c r="J61" s="1068">
        <v>2.7040000000000002</v>
      </c>
      <c r="K61" s="1395">
        <v>2.7040000000000002</v>
      </c>
      <c r="L61" s="989"/>
      <c r="M61" s="989"/>
      <c r="N61" s="2695"/>
      <c r="O61" s="2699" t="s">
        <v>3899</v>
      </c>
      <c r="P61" s="2760"/>
      <c r="Q61" s="2761"/>
      <c r="R61" s="2761"/>
      <c r="S61" s="2761"/>
      <c r="T61" s="2761"/>
      <c r="U61" s="2762"/>
      <c r="V61" s="2345"/>
    </row>
    <row r="62" spans="1:22" ht="27.75" hidden="1" customHeight="1">
      <c r="A62" s="2734"/>
      <c r="B62" s="2703"/>
      <c r="C62" s="2463"/>
      <c r="D62" s="961" t="s">
        <v>246</v>
      </c>
      <c r="E62" s="1398"/>
      <c r="F62" s="1399"/>
      <c r="G62" s="1398"/>
      <c r="H62" s="989"/>
      <c r="I62" s="989"/>
      <c r="J62" s="1068">
        <v>23.436</v>
      </c>
      <c r="K62" s="1395">
        <v>23.436</v>
      </c>
      <c r="L62" s="989"/>
      <c r="M62" s="989"/>
      <c r="N62" s="2695"/>
      <c r="O62" s="2700"/>
      <c r="P62" s="2763"/>
      <c r="Q62" s="2764"/>
      <c r="R62" s="2764"/>
      <c r="S62" s="2764"/>
      <c r="T62" s="2764"/>
      <c r="U62" s="2765"/>
      <c r="V62" s="2345"/>
    </row>
    <row r="63" spans="1:22" ht="27.75" hidden="1" customHeight="1">
      <c r="A63" s="2735"/>
      <c r="B63" s="2704"/>
      <c r="C63" s="2463"/>
      <c r="D63" s="1401" t="s">
        <v>1076</v>
      </c>
      <c r="E63" s="1402">
        <f>E61</f>
        <v>62</v>
      </c>
      <c r="F63" s="1403">
        <f t="shared" ref="F63" si="26">H63/E63-1</f>
        <v>-1</v>
      </c>
      <c r="G63" s="1402">
        <f t="shared" ref="G63" si="27">G61</f>
        <v>0</v>
      </c>
      <c r="H63" s="1404">
        <f>SUM(H61,H62)</f>
        <v>0</v>
      </c>
      <c r="I63" s="1404"/>
      <c r="J63" s="1402">
        <f>SUM(J61,J62)</f>
        <v>26.14</v>
      </c>
      <c r="K63" s="1404">
        <f>SUM(K61,K62)</f>
        <v>26.14</v>
      </c>
      <c r="L63" s="1404">
        <f t="shared" ref="L63:M63" si="28">SUM(L61,L62)</f>
        <v>0</v>
      </c>
      <c r="M63" s="1404">
        <f t="shared" si="28"/>
        <v>0</v>
      </c>
      <c r="N63" s="2695"/>
      <c r="O63" s="2701"/>
      <c r="P63" s="2766"/>
      <c r="Q63" s="2767"/>
      <c r="R63" s="2767"/>
      <c r="S63" s="2767"/>
      <c r="T63" s="2767"/>
      <c r="U63" s="2768"/>
      <c r="V63" s="2345"/>
    </row>
    <row r="64" spans="1:22" ht="31.5" customHeight="1">
      <c r="A64" s="2727" t="s">
        <v>2065</v>
      </c>
      <c r="B64" s="2728" t="s">
        <v>1190</v>
      </c>
      <c r="C64" s="2722">
        <v>188711925</v>
      </c>
      <c r="D64" s="1082" t="s">
        <v>471</v>
      </c>
      <c r="E64" s="1051">
        <v>35</v>
      </c>
      <c r="F64" s="1362">
        <f t="shared" si="14"/>
        <v>-0.22857142857142854</v>
      </c>
      <c r="G64" s="1051">
        <v>40</v>
      </c>
      <c r="H64" s="1053">
        <v>27</v>
      </c>
      <c r="I64" s="1054">
        <f t="shared" ref="I64:I81" si="29">K64/H64-1</f>
        <v>0.32962962962962949</v>
      </c>
      <c r="J64" s="1051">
        <v>45</v>
      </c>
      <c r="K64" s="1053">
        <v>35.9</v>
      </c>
      <c r="L64" s="1053">
        <v>35.9</v>
      </c>
      <c r="M64" s="1053">
        <v>35.9</v>
      </c>
      <c r="N64" s="2695"/>
      <c r="O64" s="2395" t="s">
        <v>1335</v>
      </c>
      <c r="P64" s="2342" t="s">
        <v>1352</v>
      </c>
      <c r="Q64" s="2342" t="s">
        <v>1336</v>
      </c>
      <c r="R64" s="2343" t="s">
        <v>308</v>
      </c>
      <c r="S64" s="2343" t="s">
        <v>308</v>
      </c>
      <c r="T64" s="2343" t="s">
        <v>308</v>
      </c>
      <c r="U64" s="2343" t="s">
        <v>308</v>
      </c>
      <c r="V64" s="2345"/>
    </row>
    <row r="65" spans="1:23" ht="43.9" customHeight="1">
      <c r="A65" s="2727"/>
      <c r="B65" s="2729"/>
      <c r="C65" s="2723"/>
      <c r="D65" s="1087" t="s">
        <v>1076</v>
      </c>
      <c r="E65" s="1088">
        <f>E64</f>
        <v>35</v>
      </c>
      <c r="F65" s="1363">
        <f t="shared" si="14"/>
        <v>-0.22857142857142854</v>
      </c>
      <c r="G65" s="1088">
        <f t="shared" ref="G65:L65" si="30">G64</f>
        <v>40</v>
      </c>
      <c r="H65" s="1089">
        <f t="shared" ref="H65" si="31">H64</f>
        <v>27</v>
      </c>
      <c r="I65" s="1060">
        <f t="shared" si="29"/>
        <v>0.32962962962962949</v>
      </c>
      <c r="J65" s="1057">
        <f>J64</f>
        <v>45</v>
      </c>
      <c r="K65" s="1059">
        <f t="shared" si="30"/>
        <v>35.9</v>
      </c>
      <c r="L65" s="1059">
        <f t="shared" si="30"/>
        <v>35.9</v>
      </c>
      <c r="M65" s="1059">
        <v>29</v>
      </c>
      <c r="N65" s="2696"/>
      <c r="O65" s="2396"/>
      <c r="P65" s="2342"/>
      <c r="Q65" s="2342"/>
      <c r="R65" s="2344"/>
      <c r="S65" s="2344"/>
      <c r="T65" s="2344"/>
      <c r="U65" s="2344"/>
      <c r="V65" s="2344"/>
    </row>
    <row r="66" spans="1:23" ht="71.25" customHeight="1">
      <c r="A66" s="1366" t="s">
        <v>3522</v>
      </c>
      <c r="B66" s="970" t="s">
        <v>3523</v>
      </c>
      <c r="C66" s="1367"/>
      <c r="D66" s="1017"/>
      <c r="E66" s="1095">
        <f>SUM(E68,E80,E82,E85,E88,E96)</f>
        <v>43.8</v>
      </c>
      <c r="F66" s="1096">
        <f>H66/E66-1</f>
        <v>-1</v>
      </c>
      <c r="G66" s="1095">
        <f>SUM(G68,G80,G82,G85,G88,G96)</f>
        <v>45</v>
      </c>
      <c r="H66" s="1095"/>
      <c r="I66" s="1096"/>
      <c r="J66" s="1094">
        <f>J67</f>
        <v>40</v>
      </c>
      <c r="K66" s="1095">
        <f t="shared" ref="K66:M66" si="32">K67</f>
        <v>15</v>
      </c>
      <c r="L66" s="1095">
        <f t="shared" si="32"/>
        <v>20</v>
      </c>
      <c r="M66" s="1095">
        <f t="shared" si="32"/>
        <v>20</v>
      </c>
      <c r="N66" s="1095" t="s">
        <v>901</v>
      </c>
      <c r="O66" s="1369"/>
      <c r="P66" s="970" t="s">
        <v>1345</v>
      </c>
      <c r="Q66" s="970" t="s">
        <v>3896</v>
      </c>
      <c r="R66" s="970" t="s">
        <v>1339</v>
      </c>
      <c r="S66" s="970" t="s">
        <v>404</v>
      </c>
      <c r="T66" s="970" t="s">
        <v>404</v>
      </c>
      <c r="U66" s="970" t="s">
        <v>404</v>
      </c>
      <c r="V66" s="970"/>
    </row>
    <row r="67" spans="1:23" ht="33" customHeight="1">
      <c r="A67" s="2715" t="s">
        <v>3524</v>
      </c>
      <c r="B67" s="2717" t="s">
        <v>3525</v>
      </c>
      <c r="C67" s="2719">
        <v>188711925</v>
      </c>
      <c r="D67" s="1082" t="s">
        <v>471</v>
      </c>
      <c r="E67" s="1053">
        <v>43.8</v>
      </c>
      <c r="F67" s="1054">
        <f>H67/E67-1</f>
        <v>-1</v>
      </c>
      <c r="G67" s="1053">
        <v>45</v>
      </c>
      <c r="H67" s="1053"/>
      <c r="I67" s="1054"/>
      <c r="J67" s="1051">
        <v>40</v>
      </c>
      <c r="K67" s="1053">
        <v>15</v>
      </c>
      <c r="L67" s="1053">
        <v>20</v>
      </c>
      <c r="M67" s="1053">
        <v>20</v>
      </c>
      <c r="N67" s="2694" t="s">
        <v>2305</v>
      </c>
      <c r="O67" s="2349" t="s">
        <v>3893</v>
      </c>
      <c r="P67" s="2343" t="s">
        <v>1346</v>
      </c>
      <c r="Q67" s="2343" t="s">
        <v>3894</v>
      </c>
      <c r="R67" s="2343" t="s">
        <v>308</v>
      </c>
      <c r="S67" s="2343" t="s">
        <v>404</v>
      </c>
      <c r="T67" s="2343" t="s">
        <v>404</v>
      </c>
      <c r="U67" s="2343" t="s">
        <v>404</v>
      </c>
      <c r="V67" s="2343" t="s">
        <v>3895</v>
      </c>
      <c r="W67" s="304" t="s">
        <v>2713</v>
      </c>
    </row>
    <row r="68" spans="1:23" ht="39" customHeight="1">
      <c r="A68" s="2716"/>
      <c r="B68" s="2718"/>
      <c r="C68" s="2720"/>
      <c r="D68" s="1087" t="s">
        <v>1076</v>
      </c>
      <c r="E68" s="1089">
        <f>E67</f>
        <v>43.8</v>
      </c>
      <c r="F68" s="1358">
        <f>H68/E68-1</f>
        <v>-1</v>
      </c>
      <c r="G68" s="1089">
        <f>G67</f>
        <v>45</v>
      </c>
      <c r="H68" s="1089"/>
      <c r="I68" s="1358"/>
      <c r="J68" s="1088">
        <f>J67</f>
        <v>40</v>
      </c>
      <c r="K68" s="1089">
        <f>K67</f>
        <v>15</v>
      </c>
      <c r="L68" s="1089">
        <f t="shared" ref="L68:M68" si="33">L67</f>
        <v>20</v>
      </c>
      <c r="M68" s="1089">
        <f t="shared" si="33"/>
        <v>20</v>
      </c>
      <c r="N68" s="2695"/>
      <c r="O68" s="2363"/>
      <c r="P68" s="2344"/>
      <c r="Q68" s="2344"/>
      <c r="R68" s="2344"/>
      <c r="S68" s="2344"/>
      <c r="T68" s="2344"/>
      <c r="U68" s="2344"/>
      <c r="V68" s="2344"/>
    </row>
    <row r="69" spans="1:23" ht="58.5" customHeight="1">
      <c r="A69" s="2624"/>
      <c r="B69" s="2624"/>
      <c r="C69" s="2624"/>
      <c r="D69" s="2624"/>
      <c r="E69" s="276" t="s">
        <v>1091</v>
      </c>
      <c r="F69" s="276"/>
      <c r="G69" s="365" t="str">
        <f>G11</f>
        <v>2024  m.asignavimų poreikis</v>
      </c>
      <c r="H69" s="188" t="str">
        <f>H11</f>
        <v>2024  m.asignavimai ir kitos lėšos, tūkst. Eur</v>
      </c>
      <c r="I69" s="365" t="s">
        <v>3099</v>
      </c>
      <c r="J69" s="365" t="s">
        <v>3100</v>
      </c>
      <c r="K69" s="186" t="str">
        <f>K11</f>
        <v>2025 m. asignavimai ir kitos lėšos, tūkst. Eur</v>
      </c>
      <c r="L69" s="186" t="str">
        <f>L11</f>
        <v>2026 m. asignavimai ir kitos lėšos, tūkst. Eur</v>
      </c>
      <c r="M69" s="194" t="s">
        <v>3097</v>
      </c>
      <c r="N69" s="194"/>
      <c r="O69" s="366"/>
      <c r="P69" s="367"/>
      <c r="Q69" s="367"/>
      <c r="R69" s="367"/>
      <c r="S69" s="367"/>
      <c r="T69" s="367"/>
      <c r="U69" s="367"/>
      <c r="V69" s="368"/>
    </row>
    <row r="70" spans="1:23" ht="31.9" customHeight="1">
      <c r="A70" s="237"/>
      <c r="B70" s="2573" t="s">
        <v>722</v>
      </c>
      <c r="C70" s="2573"/>
      <c r="D70" s="2573"/>
      <c r="E70" s="280">
        <f>E71+E72+E74+E75+E76+E77</f>
        <v>1296.83</v>
      </c>
      <c r="F70" s="277">
        <f t="shared" si="14"/>
        <v>0.2344293392349035</v>
      </c>
      <c r="G70" s="280">
        <f t="shared" ref="G70" si="34">G71+G72+G74+G75+G76+G77</f>
        <v>155</v>
      </c>
      <c r="H70" s="241">
        <f>H71+H72+H74+H75+H76+H77</f>
        <v>1600.8449999999998</v>
      </c>
      <c r="I70" s="239">
        <f t="shared" si="29"/>
        <v>0.14718226936399237</v>
      </c>
      <c r="J70" s="280">
        <f t="shared" ref="J70" si="35">J71+J72+J74+J75+J76+J77</f>
        <v>197.5</v>
      </c>
      <c r="K70" s="241">
        <f>K71+K72+K74+K75+K76+K77</f>
        <v>1836.4610000000002</v>
      </c>
      <c r="L70" s="241">
        <f>L71+L72+L74+L75+L76+L77</f>
        <v>1635.1330000000003</v>
      </c>
      <c r="M70" s="241">
        <f>M71+M72+M74+M75+M76+M77</f>
        <v>1632.204</v>
      </c>
      <c r="N70" s="1356"/>
      <c r="O70" s="912"/>
      <c r="P70" s="912"/>
      <c r="Q70" s="912"/>
      <c r="R70" s="912"/>
      <c r="S70" s="912"/>
      <c r="T70" s="912"/>
      <c r="U70" s="912"/>
      <c r="V70" s="912"/>
    </row>
    <row r="71" spans="1:23" ht="42.6" customHeight="1">
      <c r="A71" s="236"/>
      <c r="B71" s="2564" t="s">
        <v>2027</v>
      </c>
      <c r="C71" s="2564"/>
      <c r="D71" s="2564"/>
      <c r="E71" s="230">
        <f>SUM(E14,E26,E39,E41,E45,E47,E64,)</f>
        <v>1272.1499999999999</v>
      </c>
      <c r="F71" s="277">
        <f t="shared" si="14"/>
        <v>0.22350744802106681</v>
      </c>
      <c r="G71" s="230">
        <f>SUM(G14,G26,G39,G41,G45,G47,G64,)</f>
        <v>155</v>
      </c>
      <c r="H71" s="225">
        <f>SUM(H14,H26,H39,H41,H45,H47,H64,)</f>
        <v>1556.4849999999999</v>
      </c>
      <c r="I71" s="510">
        <f t="shared" si="29"/>
        <v>-8.7279993061285532E-3</v>
      </c>
      <c r="J71" s="230">
        <f>SUM(J14,J26,J39,J41,J45,J47,J64,)</f>
        <v>197.5</v>
      </c>
      <c r="K71" s="225">
        <f>SUM(K14,K26,K39,K41,K45,K64,K67,)</f>
        <v>1542.9000000000003</v>
      </c>
      <c r="L71" s="225">
        <f>SUM(L14,L26,L39,L41,L45,L64,L67,L48)</f>
        <v>1602.5030000000002</v>
      </c>
      <c r="M71" s="225">
        <f>SUM(M14,M26,M39,M41,M45,M64,M67,M48)</f>
        <v>1556.902</v>
      </c>
      <c r="N71" s="197"/>
      <c r="O71" s="174"/>
      <c r="P71" s="174"/>
      <c r="Q71" s="174"/>
      <c r="R71" s="174"/>
      <c r="S71" s="174"/>
      <c r="T71" s="174"/>
      <c r="U71" s="174"/>
      <c r="V71" s="174"/>
    </row>
    <row r="72" spans="1:23" ht="31.15" customHeight="1">
      <c r="A72" s="236"/>
      <c r="B72" s="2564" t="s">
        <v>724</v>
      </c>
      <c r="C72" s="2564"/>
      <c r="D72" s="2564"/>
      <c r="E72" s="230">
        <f>SUM(E15)</f>
        <v>24.68</v>
      </c>
      <c r="F72" s="277">
        <f t="shared" si="14"/>
        <v>-1.2965964343598091E-2</v>
      </c>
      <c r="G72" s="230">
        <f>SUM(G15)</f>
        <v>0</v>
      </c>
      <c r="H72" s="225">
        <f>SUM(H15)</f>
        <v>24.36</v>
      </c>
      <c r="I72" s="510">
        <f t="shared" si="29"/>
        <v>0.23768472906403937</v>
      </c>
      <c r="J72" s="230">
        <f>SUM(J15)</f>
        <v>0</v>
      </c>
      <c r="K72" s="225">
        <f>K73</f>
        <v>30.15</v>
      </c>
      <c r="L72" s="225">
        <f t="shared" ref="L72:M72" si="36">L73</f>
        <v>32.630000000000003</v>
      </c>
      <c r="M72" s="225">
        <f t="shared" si="36"/>
        <v>35.299999999999997</v>
      </c>
      <c r="N72" s="197"/>
      <c r="O72" s="174"/>
      <c r="P72" s="174"/>
      <c r="Q72" s="174"/>
      <c r="R72" s="174"/>
      <c r="S72" s="174"/>
      <c r="T72" s="174"/>
      <c r="U72" s="174"/>
      <c r="V72" s="174"/>
    </row>
    <row r="73" spans="1:23" ht="20.100000000000001" hidden="1" customHeight="1">
      <c r="A73" s="236"/>
      <c r="B73" s="2581" t="s">
        <v>2755</v>
      </c>
      <c r="C73" s="2582"/>
      <c r="D73" s="2583"/>
      <c r="E73" s="534"/>
      <c r="F73" s="901"/>
      <c r="G73" s="534"/>
      <c r="H73" s="513">
        <f>H72</f>
        <v>24.36</v>
      </c>
      <c r="I73" s="666">
        <f t="shared" si="29"/>
        <v>0.23768472906403937</v>
      </c>
      <c r="J73" s="515">
        <f t="shared" ref="J73" si="37">J72</f>
        <v>0</v>
      </c>
      <c r="K73" s="513">
        <f>SUM(K15)</f>
        <v>30.15</v>
      </c>
      <c r="L73" s="513">
        <f>SUM(L15)</f>
        <v>32.630000000000003</v>
      </c>
      <c r="M73" s="513">
        <f>SUM(M15)</f>
        <v>35.299999999999997</v>
      </c>
      <c r="N73" s="197"/>
      <c r="O73" s="174"/>
      <c r="P73" s="174"/>
      <c r="Q73" s="174"/>
      <c r="R73" s="174"/>
      <c r="S73" s="174"/>
      <c r="T73" s="174"/>
      <c r="U73" s="174"/>
      <c r="V73" s="174"/>
    </row>
    <row r="74" spans="1:23" ht="20.100000000000001" customHeight="1">
      <c r="A74" s="236"/>
      <c r="B74" s="2564" t="s">
        <v>725</v>
      </c>
      <c r="C74" s="2564"/>
      <c r="D74" s="2564"/>
      <c r="E74" s="230">
        <v>0</v>
      </c>
      <c r="F74" s="277"/>
      <c r="G74" s="230">
        <v>0</v>
      </c>
      <c r="H74" s="225">
        <v>0</v>
      </c>
      <c r="I74" s="510"/>
      <c r="J74" s="230">
        <v>0</v>
      </c>
      <c r="K74" s="225">
        <v>0</v>
      </c>
      <c r="L74" s="225">
        <v>0</v>
      </c>
      <c r="M74" s="225">
        <v>0</v>
      </c>
      <c r="N74" s="197"/>
      <c r="O74" s="174"/>
      <c r="P74" s="174"/>
      <c r="Q74" s="174"/>
      <c r="R74" s="174"/>
      <c r="S74" s="174"/>
      <c r="T74" s="174"/>
      <c r="U74" s="174"/>
      <c r="V74" s="174"/>
    </row>
    <row r="75" spans="1:23" ht="34.9" customHeight="1">
      <c r="A75" s="236"/>
      <c r="B75" s="2564" t="s">
        <v>2861</v>
      </c>
      <c r="C75" s="2564"/>
      <c r="D75" s="2564"/>
      <c r="E75" s="230">
        <v>0</v>
      </c>
      <c r="F75" s="277"/>
      <c r="G75" s="230">
        <v>0</v>
      </c>
      <c r="H75" s="225">
        <v>0</v>
      </c>
      <c r="I75" s="510"/>
      <c r="J75" s="230">
        <v>0</v>
      </c>
      <c r="K75" s="225">
        <f>K49</f>
        <v>23.436</v>
      </c>
      <c r="L75" s="225">
        <f t="shared" ref="L75:M75" si="38">L49</f>
        <v>0</v>
      </c>
      <c r="M75" s="225">
        <f t="shared" si="38"/>
        <v>0</v>
      </c>
      <c r="N75" s="197"/>
      <c r="P75" s="174"/>
      <c r="Q75" s="174"/>
      <c r="R75" s="174"/>
      <c r="S75" s="174"/>
      <c r="T75" s="174"/>
      <c r="U75" s="174"/>
      <c r="V75" s="174"/>
    </row>
    <row r="76" spans="1:23" ht="20.100000000000001" customHeight="1">
      <c r="A76" s="236"/>
      <c r="B76" s="2564" t="s">
        <v>726</v>
      </c>
      <c r="C76" s="2564"/>
      <c r="D76" s="2564"/>
      <c r="E76" s="230">
        <v>0</v>
      </c>
      <c r="F76" s="277"/>
      <c r="G76" s="230">
        <v>0</v>
      </c>
      <c r="H76" s="225">
        <v>0</v>
      </c>
      <c r="I76" s="510"/>
      <c r="J76" s="230">
        <v>0</v>
      </c>
      <c r="K76" s="225">
        <f>SUM(K51)</f>
        <v>0</v>
      </c>
      <c r="L76" s="225">
        <f t="shared" ref="L76:M76" si="39">SUM(L51)</f>
        <v>0</v>
      </c>
      <c r="M76" s="225">
        <f t="shared" si="39"/>
        <v>40.002000000000002</v>
      </c>
      <c r="N76" s="197"/>
      <c r="O76" s="174"/>
      <c r="P76" s="174"/>
      <c r="Q76" s="174"/>
      <c r="R76" s="174"/>
      <c r="S76" s="174"/>
      <c r="T76" s="174"/>
      <c r="U76" s="174"/>
      <c r="V76" s="174"/>
    </row>
    <row r="77" spans="1:23" ht="20.100000000000001" customHeight="1">
      <c r="A77" s="236"/>
      <c r="B77" s="2564" t="s">
        <v>727</v>
      </c>
      <c r="C77" s="2564"/>
      <c r="D77" s="2564"/>
      <c r="E77" s="230">
        <v>0</v>
      </c>
      <c r="F77" s="277"/>
      <c r="G77" s="230">
        <v>0</v>
      </c>
      <c r="H77" s="225">
        <f>H27</f>
        <v>20</v>
      </c>
      <c r="I77" s="510">
        <f t="shared" si="29"/>
        <v>10.998750000000001</v>
      </c>
      <c r="J77" s="230">
        <f>J27</f>
        <v>0</v>
      </c>
      <c r="K77" s="225">
        <f>SUM(K47)</f>
        <v>239.97500000000002</v>
      </c>
      <c r="L77" s="225">
        <f t="shared" ref="L77:M77" si="40">SUM(L47)</f>
        <v>0</v>
      </c>
      <c r="M77" s="225">
        <f t="shared" si="40"/>
        <v>0</v>
      </c>
      <c r="N77" s="197"/>
      <c r="O77" s="174"/>
      <c r="P77" s="174"/>
      <c r="Q77" s="174"/>
      <c r="R77" s="174"/>
      <c r="S77" s="174"/>
      <c r="T77" s="174"/>
      <c r="U77" s="174"/>
      <c r="V77" s="174"/>
    </row>
    <row r="78" spans="1:23" ht="39.6" customHeight="1">
      <c r="A78" s="237"/>
      <c r="B78" s="2488" t="s">
        <v>728</v>
      </c>
      <c r="C78" s="2488"/>
      <c r="D78" s="2488"/>
      <c r="E78" s="369">
        <v>0</v>
      </c>
      <c r="F78" s="278"/>
      <c r="G78" s="369">
        <v>0</v>
      </c>
      <c r="H78" s="356">
        <v>0</v>
      </c>
      <c r="I78" s="765"/>
      <c r="J78" s="369">
        <v>0</v>
      </c>
      <c r="K78" s="356">
        <f>K50</f>
        <v>0</v>
      </c>
      <c r="L78" s="356">
        <f>L50</f>
        <v>0</v>
      </c>
      <c r="M78" s="356">
        <f>M50</f>
        <v>0</v>
      </c>
      <c r="N78" s="197"/>
      <c r="O78" s="174"/>
      <c r="P78" s="174"/>
      <c r="Q78" s="174"/>
      <c r="R78" s="174"/>
      <c r="S78" s="174"/>
      <c r="T78" s="174"/>
      <c r="U78" s="174"/>
      <c r="V78" s="174"/>
    </row>
    <row r="79" spans="1:23" ht="31.15" customHeight="1">
      <c r="A79" s="236"/>
      <c r="B79" s="2488" t="s">
        <v>1092</v>
      </c>
      <c r="C79" s="2488"/>
      <c r="D79" s="2488"/>
      <c r="E79" s="279">
        <f>E70+E78</f>
        <v>1296.83</v>
      </c>
      <c r="F79" s="278">
        <f t="shared" si="14"/>
        <v>0.2344293392349035</v>
      </c>
      <c r="G79" s="279">
        <f t="shared" ref="G79" si="41">G70+G78</f>
        <v>155</v>
      </c>
      <c r="H79" s="240">
        <f>H70+H78</f>
        <v>1600.8449999999998</v>
      </c>
      <c r="I79" s="357">
        <f t="shared" si="29"/>
        <v>0.14718226936399237</v>
      </c>
      <c r="J79" s="279">
        <f t="shared" ref="J79" si="42">J70+J78</f>
        <v>197.5</v>
      </c>
      <c r="K79" s="240">
        <f>K70+K78</f>
        <v>1836.4610000000002</v>
      </c>
      <c r="L79" s="240">
        <f>L70+L78</f>
        <v>1635.1330000000003</v>
      </c>
      <c r="M79" s="240">
        <f>M70+M78</f>
        <v>1632.204</v>
      </c>
      <c r="N79" s="197"/>
      <c r="O79" s="174"/>
      <c r="P79" s="174"/>
      <c r="Q79" s="174"/>
      <c r="R79" s="174"/>
      <c r="S79" s="174"/>
      <c r="T79" s="174"/>
      <c r="U79" s="174"/>
      <c r="V79" s="174"/>
    </row>
    <row r="80" spans="1:23" ht="31.15" customHeight="1">
      <c r="A80" s="236"/>
      <c r="B80" s="2488" t="s">
        <v>2028</v>
      </c>
      <c r="C80" s="2488"/>
      <c r="D80" s="2488"/>
      <c r="E80" s="370">
        <v>0</v>
      </c>
      <c r="F80" s="278"/>
      <c r="G80" s="370">
        <v>0</v>
      </c>
      <c r="H80" s="371">
        <v>0</v>
      </c>
      <c r="I80" s="798"/>
      <c r="J80" s="370">
        <v>0</v>
      </c>
      <c r="K80" s="371">
        <v>0</v>
      </c>
      <c r="L80" s="371">
        <v>0</v>
      </c>
      <c r="M80" s="371">
        <v>0</v>
      </c>
      <c r="N80" s="197"/>
      <c r="O80" s="174"/>
      <c r="P80" s="174"/>
      <c r="Q80" s="174"/>
      <c r="R80" s="174"/>
      <c r="S80" s="174"/>
      <c r="T80" s="174"/>
      <c r="U80" s="174"/>
      <c r="V80" s="174"/>
    </row>
    <row r="81" spans="1:22" ht="37.15" customHeight="1">
      <c r="A81" s="236"/>
      <c r="B81" s="2609" t="s">
        <v>729</v>
      </c>
      <c r="C81" s="2609"/>
      <c r="D81" s="2609"/>
      <c r="E81" s="279">
        <v>0</v>
      </c>
      <c r="F81" s="277"/>
      <c r="G81" s="279">
        <v>0</v>
      </c>
      <c r="H81" s="357">
        <f>H79/E79-1</f>
        <v>0.2344293392349035</v>
      </c>
      <c r="I81" s="357">
        <f t="shared" si="29"/>
        <v>-0.37216787862669187</v>
      </c>
      <c r="J81" s="607">
        <f t="shared" ref="J81" si="43">J79/G79-1</f>
        <v>0.27419354838709675</v>
      </c>
      <c r="K81" s="357">
        <f>K79/H79-1</f>
        <v>0.14718226936399237</v>
      </c>
      <c r="L81" s="357">
        <f>L79/K79-1</f>
        <v>-0.10962824693799644</v>
      </c>
      <c r="M81" s="357">
        <f>M79/L79-1</f>
        <v>-1.7912915952404962E-3</v>
      </c>
      <c r="N81" s="197"/>
      <c r="O81" s="174"/>
      <c r="P81" s="174"/>
      <c r="Q81" s="174"/>
      <c r="R81" s="174"/>
      <c r="S81" s="174"/>
      <c r="T81" s="174"/>
      <c r="U81" s="174"/>
      <c r="V81" s="174"/>
    </row>
    <row r="82" spans="1:22" ht="24" customHeight="1">
      <c r="B82" s="360"/>
      <c r="C82" s="360"/>
      <c r="D82" s="360"/>
      <c r="E82" s="372"/>
      <c r="F82" s="372"/>
      <c r="G82" s="372"/>
      <c r="H82" s="372"/>
      <c r="I82" s="372"/>
      <c r="J82" s="373"/>
      <c r="K82" s="372"/>
      <c r="L82" s="372"/>
      <c r="M82" s="372"/>
      <c r="N82" s="1357"/>
      <c r="O82" s="373"/>
      <c r="P82" s="373"/>
      <c r="Q82" s="373"/>
      <c r="R82" s="373"/>
      <c r="S82" s="373"/>
      <c r="T82" s="373"/>
      <c r="U82" s="373"/>
      <c r="V82" s="373"/>
    </row>
    <row r="83" spans="1:22" ht="17.25" hidden="1" customHeight="1">
      <c r="E83" s="304"/>
      <c r="F83" s="304"/>
      <c r="H83" s="374"/>
      <c r="I83" s="374"/>
      <c r="J83" s="631" t="s">
        <v>4065</v>
      </c>
      <c r="K83" s="304">
        <v>1782.875</v>
      </c>
    </row>
    <row r="84" spans="1:22" ht="17.25" hidden="1" customHeight="1">
      <c r="A84" s="2721"/>
      <c r="B84" s="2721"/>
      <c r="C84" s="2721"/>
      <c r="E84" s="304"/>
      <c r="F84" s="375"/>
      <c r="G84" s="375"/>
      <c r="H84" s="375"/>
      <c r="I84" s="375"/>
      <c r="K84" s="923">
        <f>K83-K71-K74-K76-K77</f>
        <v>-3.4106051316484809E-13</v>
      </c>
      <c r="L84" s="375"/>
      <c r="M84" s="375"/>
      <c r="N84" s="940"/>
      <c r="O84" s="375"/>
      <c r="P84" s="375"/>
    </row>
    <row r="85" spans="1:22" ht="17.25" hidden="1" customHeight="1">
      <c r="E85" s="304"/>
      <c r="F85" s="304"/>
      <c r="H85" s="374"/>
      <c r="I85" s="374"/>
      <c r="J85" s="632"/>
    </row>
    <row r="86" spans="1:22" ht="17.25" hidden="1" customHeight="1">
      <c r="E86" s="304"/>
      <c r="F86" s="304"/>
      <c r="K86" s="1238">
        <v>1813.0250000000001</v>
      </c>
      <c r="L86" s="1239">
        <v>1635.133</v>
      </c>
      <c r="M86" s="1238">
        <v>1632.204</v>
      </c>
    </row>
    <row r="87" spans="1:22" ht="17.25" hidden="1" customHeight="1">
      <c r="E87" s="304"/>
      <c r="F87" s="304"/>
      <c r="K87" s="1240">
        <f>K79-K86</f>
        <v>23.436000000000149</v>
      </c>
      <c r="L87" s="1240">
        <f>L86-L79</f>
        <v>0</v>
      </c>
      <c r="M87" s="1240">
        <f>M86-M79</f>
        <v>0</v>
      </c>
    </row>
    <row r="88" spans="1:22" ht="15" hidden="1">
      <c r="E88" s="304"/>
      <c r="F88" s="304"/>
      <c r="K88" s="1238"/>
      <c r="L88" s="1238"/>
      <c r="M88" s="1238"/>
    </row>
    <row r="89" spans="1:22" hidden="1">
      <c r="E89" s="304"/>
      <c r="F89" s="304"/>
      <c r="K89" s="374">
        <f>K87-K75-K78</f>
        <v>1.4921397450962104E-13</v>
      </c>
      <c r="M89" s="374"/>
    </row>
    <row r="90" spans="1:22" hidden="1">
      <c r="E90" s="304"/>
      <c r="F90" s="304"/>
    </row>
    <row r="91" spans="1:22" hidden="1">
      <c r="E91" s="304"/>
      <c r="F91" s="304"/>
    </row>
    <row r="92" spans="1:22" hidden="1">
      <c r="E92" s="304"/>
      <c r="F92" s="304"/>
    </row>
    <row r="93" spans="1:22" hidden="1">
      <c r="E93" s="304"/>
      <c r="F93" s="304"/>
    </row>
    <row r="94" spans="1:22" hidden="1">
      <c r="E94" s="304"/>
      <c r="F94" s="304"/>
    </row>
    <row r="95" spans="1:22" hidden="1">
      <c r="E95" s="304"/>
      <c r="F95" s="304"/>
    </row>
    <row r="96" spans="1:22" hidden="1">
      <c r="E96" s="304"/>
      <c r="F96" s="304"/>
    </row>
    <row r="97" spans="5:6">
      <c r="E97" s="304"/>
      <c r="F97" s="304"/>
    </row>
    <row r="98" spans="5:6">
      <c r="E98" s="304"/>
      <c r="F98" s="304"/>
    </row>
    <row r="99" spans="5:6">
      <c r="E99" s="304"/>
      <c r="F99" s="304"/>
    </row>
    <row r="100" spans="5:6">
      <c r="E100" s="304"/>
      <c r="F100" s="304"/>
    </row>
    <row r="101" spans="5:6">
      <c r="E101" s="304"/>
      <c r="F101" s="304"/>
    </row>
    <row r="102" spans="5:6">
      <c r="E102" s="304"/>
      <c r="F102" s="304"/>
    </row>
    <row r="103" spans="5:6">
      <c r="E103" s="304"/>
      <c r="F103" s="304"/>
    </row>
    <row r="104" spans="5:6">
      <c r="E104" s="304"/>
      <c r="F104" s="304"/>
    </row>
    <row r="105" spans="5:6">
      <c r="E105" s="304"/>
      <c r="F105" s="304"/>
    </row>
    <row r="106" spans="5:6">
      <c r="E106" s="304"/>
      <c r="F106" s="304"/>
    </row>
    <row r="107" spans="5:6">
      <c r="E107" s="304"/>
      <c r="F107" s="304"/>
    </row>
    <row r="108" spans="5:6">
      <c r="E108" s="304"/>
      <c r="F108" s="304"/>
    </row>
    <row r="109" spans="5:6">
      <c r="E109" s="304"/>
      <c r="F109" s="304"/>
    </row>
    <row r="110" spans="5:6">
      <c r="E110" s="304"/>
      <c r="F110" s="304"/>
    </row>
    <row r="111" spans="5:6">
      <c r="E111" s="304"/>
      <c r="F111" s="304"/>
    </row>
    <row r="112" spans="5:6">
      <c r="E112" s="304"/>
      <c r="F112" s="304"/>
    </row>
    <row r="113" spans="5:6">
      <c r="E113" s="304"/>
      <c r="F113" s="304"/>
    </row>
    <row r="114" spans="5:6">
      <c r="E114" s="304"/>
      <c r="F114" s="304"/>
    </row>
    <row r="115" spans="5:6">
      <c r="E115" s="304"/>
      <c r="F115" s="304"/>
    </row>
    <row r="116" spans="5:6">
      <c r="E116" s="304"/>
      <c r="F116" s="304"/>
    </row>
    <row r="117" spans="5:6">
      <c r="E117" s="304"/>
      <c r="F117" s="304"/>
    </row>
    <row r="118" spans="5:6">
      <c r="E118" s="304"/>
      <c r="F118" s="304"/>
    </row>
    <row r="119" spans="5:6">
      <c r="E119" s="304"/>
      <c r="F119" s="304"/>
    </row>
    <row r="120" spans="5:6">
      <c r="E120" s="304"/>
      <c r="F120" s="304"/>
    </row>
    <row r="121" spans="5:6">
      <c r="E121" s="304"/>
      <c r="F121" s="304"/>
    </row>
    <row r="122" spans="5:6">
      <c r="E122" s="304"/>
      <c r="F122" s="304"/>
    </row>
    <row r="123" spans="5:6">
      <c r="E123" s="304"/>
      <c r="F123" s="304"/>
    </row>
    <row r="124" spans="5:6">
      <c r="E124" s="304"/>
      <c r="F124" s="304"/>
    </row>
    <row r="125" spans="5:6">
      <c r="E125" s="304"/>
      <c r="F125" s="304"/>
    </row>
    <row r="126" spans="5:6">
      <c r="E126" s="304"/>
      <c r="F126" s="304"/>
    </row>
    <row r="127" spans="5:6">
      <c r="E127" s="304"/>
      <c r="F127" s="304"/>
    </row>
    <row r="128" spans="5:6">
      <c r="E128" s="304"/>
      <c r="F128" s="304"/>
    </row>
    <row r="129" spans="5:6">
      <c r="E129" s="304"/>
      <c r="F129" s="304"/>
    </row>
    <row r="130" spans="5:6">
      <c r="E130" s="304"/>
      <c r="F130" s="304"/>
    </row>
    <row r="131" spans="5:6">
      <c r="E131" s="304"/>
      <c r="F131" s="304"/>
    </row>
    <row r="132" spans="5:6">
      <c r="E132" s="304"/>
      <c r="F132" s="304"/>
    </row>
    <row r="133" spans="5:6">
      <c r="E133" s="304"/>
      <c r="F133" s="304"/>
    </row>
    <row r="134" spans="5:6">
      <c r="E134" s="304"/>
      <c r="F134" s="304"/>
    </row>
    <row r="135" spans="5:6">
      <c r="E135" s="304"/>
      <c r="F135" s="304"/>
    </row>
    <row r="136" spans="5:6">
      <c r="E136" s="304"/>
      <c r="F136" s="304"/>
    </row>
    <row r="137" spans="5:6">
      <c r="E137" s="304"/>
      <c r="F137" s="304"/>
    </row>
    <row r="138" spans="5:6">
      <c r="E138" s="304"/>
      <c r="F138" s="304"/>
    </row>
    <row r="139" spans="5:6">
      <c r="E139" s="304"/>
      <c r="F139" s="304"/>
    </row>
    <row r="140" spans="5:6">
      <c r="E140" s="304"/>
      <c r="F140" s="304"/>
    </row>
    <row r="141" spans="5:6">
      <c r="E141" s="304"/>
      <c r="F141" s="304"/>
    </row>
    <row r="142" spans="5:6">
      <c r="E142" s="304"/>
      <c r="F142" s="304"/>
    </row>
    <row r="143" spans="5:6">
      <c r="E143" s="304"/>
      <c r="F143" s="304"/>
    </row>
    <row r="144" spans="5:6">
      <c r="E144" s="304"/>
      <c r="F144" s="304"/>
    </row>
    <row r="145" spans="5:6">
      <c r="E145" s="304"/>
      <c r="F145" s="304"/>
    </row>
    <row r="146" spans="5:6">
      <c r="E146" s="304"/>
      <c r="F146" s="304"/>
    </row>
    <row r="147" spans="5:6">
      <c r="E147" s="304"/>
      <c r="F147" s="304"/>
    </row>
    <row r="148" spans="5:6">
      <c r="E148" s="304"/>
      <c r="F148" s="304"/>
    </row>
    <row r="149" spans="5:6">
      <c r="E149" s="304"/>
      <c r="F149" s="304"/>
    </row>
    <row r="150" spans="5:6">
      <c r="E150" s="304"/>
      <c r="F150" s="304"/>
    </row>
    <row r="151" spans="5:6">
      <c r="E151" s="304"/>
      <c r="F151" s="304"/>
    </row>
    <row r="152" spans="5:6">
      <c r="E152" s="304"/>
      <c r="F152" s="304"/>
    </row>
    <row r="153" spans="5:6">
      <c r="E153" s="304"/>
      <c r="F153" s="304"/>
    </row>
    <row r="154" spans="5:6">
      <c r="E154" s="304"/>
      <c r="F154" s="304"/>
    </row>
    <row r="155" spans="5:6">
      <c r="E155" s="304"/>
      <c r="F155" s="304"/>
    </row>
    <row r="156" spans="5:6">
      <c r="E156" s="304"/>
      <c r="F156" s="304"/>
    </row>
    <row r="157" spans="5:6">
      <c r="E157" s="304"/>
      <c r="F157" s="304"/>
    </row>
    <row r="158" spans="5:6">
      <c r="E158" s="304"/>
      <c r="F158" s="304"/>
    </row>
    <row r="159" spans="5:6">
      <c r="E159" s="304"/>
      <c r="F159" s="304"/>
    </row>
    <row r="160" spans="5:6">
      <c r="E160" s="304"/>
      <c r="F160" s="304"/>
    </row>
    <row r="161" spans="5:6">
      <c r="E161" s="304"/>
      <c r="F161" s="304"/>
    </row>
    <row r="162" spans="5:6">
      <c r="E162" s="304"/>
      <c r="F162" s="304"/>
    </row>
    <row r="163" spans="5:6">
      <c r="E163" s="304"/>
      <c r="F163" s="304"/>
    </row>
    <row r="164" spans="5:6">
      <c r="E164" s="304"/>
      <c r="F164" s="304"/>
    </row>
    <row r="165" spans="5:6">
      <c r="E165" s="304"/>
      <c r="F165" s="304"/>
    </row>
    <row r="166" spans="5:6">
      <c r="E166" s="304"/>
      <c r="F166" s="304"/>
    </row>
    <row r="167" spans="5:6">
      <c r="E167" s="304"/>
      <c r="F167" s="304"/>
    </row>
    <row r="168" spans="5:6">
      <c r="E168" s="304"/>
      <c r="F168" s="304"/>
    </row>
    <row r="169" spans="5:6">
      <c r="E169" s="304"/>
      <c r="F169" s="304"/>
    </row>
    <row r="170" spans="5:6">
      <c r="E170" s="304"/>
      <c r="F170" s="304"/>
    </row>
    <row r="171" spans="5:6">
      <c r="E171" s="304"/>
      <c r="F171" s="304"/>
    </row>
    <row r="172" spans="5:6">
      <c r="E172" s="304"/>
      <c r="F172" s="304"/>
    </row>
    <row r="173" spans="5:6">
      <c r="E173" s="304"/>
      <c r="F173" s="304"/>
    </row>
    <row r="174" spans="5:6">
      <c r="E174" s="304"/>
      <c r="F174" s="304"/>
    </row>
    <row r="175" spans="5:6">
      <c r="E175" s="304"/>
      <c r="F175" s="304"/>
    </row>
    <row r="176" spans="5:6">
      <c r="E176" s="304"/>
      <c r="F176" s="304"/>
    </row>
    <row r="177" spans="5:6">
      <c r="E177" s="304"/>
      <c r="F177" s="304"/>
    </row>
    <row r="178" spans="5:6">
      <c r="E178" s="304"/>
      <c r="F178" s="304"/>
    </row>
    <row r="179" spans="5:6">
      <c r="E179" s="304"/>
      <c r="F179" s="304"/>
    </row>
    <row r="180" spans="5:6">
      <c r="E180" s="304"/>
      <c r="F180" s="304"/>
    </row>
    <row r="181" spans="5:6">
      <c r="E181" s="304"/>
      <c r="F181" s="304"/>
    </row>
    <row r="182" spans="5:6">
      <c r="E182" s="304"/>
      <c r="F182" s="304"/>
    </row>
    <row r="183" spans="5:6">
      <c r="E183" s="304"/>
      <c r="F183" s="304"/>
    </row>
    <row r="184" spans="5:6">
      <c r="E184" s="304"/>
      <c r="F184" s="304"/>
    </row>
    <row r="185" spans="5:6">
      <c r="E185" s="304"/>
      <c r="F185" s="304"/>
    </row>
    <row r="186" spans="5:6">
      <c r="E186" s="304"/>
      <c r="F186" s="304"/>
    </row>
    <row r="187" spans="5:6">
      <c r="E187" s="304"/>
      <c r="F187" s="304"/>
    </row>
    <row r="188" spans="5:6">
      <c r="E188" s="304"/>
      <c r="F188" s="304"/>
    </row>
    <row r="189" spans="5:6">
      <c r="E189" s="304"/>
      <c r="F189" s="304"/>
    </row>
    <row r="190" spans="5:6">
      <c r="E190" s="304"/>
      <c r="F190" s="304"/>
    </row>
    <row r="191" spans="5:6">
      <c r="E191" s="304"/>
      <c r="F191" s="304"/>
    </row>
    <row r="192" spans="5:6">
      <c r="E192" s="304"/>
      <c r="F192" s="304"/>
    </row>
    <row r="193" spans="5:6">
      <c r="E193" s="304"/>
      <c r="F193" s="304"/>
    </row>
    <row r="194" spans="5:6">
      <c r="E194" s="304"/>
      <c r="F194" s="304"/>
    </row>
    <row r="195" spans="5:6">
      <c r="E195" s="304"/>
      <c r="F195" s="304"/>
    </row>
    <row r="196" spans="5:6">
      <c r="E196" s="304"/>
      <c r="F196" s="304"/>
    </row>
    <row r="197" spans="5:6">
      <c r="E197" s="304"/>
      <c r="F197" s="304"/>
    </row>
    <row r="198" spans="5:6">
      <c r="E198" s="304"/>
      <c r="F198" s="304"/>
    </row>
    <row r="199" spans="5:6">
      <c r="E199" s="304"/>
      <c r="F199" s="304"/>
    </row>
    <row r="200" spans="5:6">
      <c r="E200" s="304"/>
      <c r="F200" s="304"/>
    </row>
    <row r="201" spans="5:6">
      <c r="E201" s="304"/>
      <c r="F201" s="304"/>
    </row>
    <row r="202" spans="5:6">
      <c r="E202" s="304"/>
      <c r="F202" s="304"/>
    </row>
    <row r="203" spans="5:6">
      <c r="E203" s="304"/>
      <c r="F203" s="304"/>
    </row>
    <row r="204" spans="5:6">
      <c r="E204" s="304"/>
      <c r="F204" s="304"/>
    </row>
    <row r="205" spans="5:6">
      <c r="E205" s="304"/>
      <c r="F205" s="304"/>
    </row>
    <row r="206" spans="5:6">
      <c r="E206" s="304"/>
      <c r="F206" s="304"/>
    </row>
    <row r="207" spans="5:6">
      <c r="E207" s="304"/>
      <c r="F207" s="304"/>
    </row>
    <row r="208" spans="5:6">
      <c r="E208" s="304"/>
      <c r="F208" s="304"/>
    </row>
    <row r="209" spans="5:6">
      <c r="E209" s="304"/>
      <c r="F209" s="304"/>
    </row>
    <row r="210" spans="5:6">
      <c r="E210" s="304"/>
      <c r="F210" s="304"/>
    </row>
    <row r="211" spans="5:6">
      <c r="E211" s="304"/>
      <c r="F211" s="304"/>
    </row>
    <row r="212" spans="5:6">
      <c r="E212" s="304"/>
      <c r="F212" s="304"/>
    </row>
    <row r="213" spans="5:6">
      <c r="E213" s="304"/>
      <c r="F213" s="304"/>
    </row>
    <row r="214" spans="5:6">
      <c r="E214" s="304"/>
      <c r="F214" s="304"/>
    </row>
    <row r="215" spans="5:6">
      <c r="E215" s="304"/>
      <c r="F215" s="304"/>
    </row>
    <row r="216" spans="5:6">
      <c r="E216" s="304"/>
      <c r="F216" s="304"/>
    </row>
    <row r="217" spans="5:6">
      <c r="E217" s="304"/>
      <c r="F217" s="304"/>
    </row>
    <row r="218" spans="5:6">
      <c r="E218" s="304"/>
      <c r="F218" s="304"/>
    </row>
    <row r="219" spans="5:6">
      <c r="E219" s="304"/>
      <c r="F219" s="304"/>
    </row>
    <row r="220" spans="5:6">
      <c r="E220" s="304"/>
      <c r="F220" s="304"/>
    </row>
    <row r="221" spans="5:6">
      <c r="E221" s="304"/>
      <c r="F221" s="304"/>
    </row>
    <row r="222" spans="5:6">
      <c r="E222" s="304"/>
      <c r="F222" s="304"/>
    </row>
    <row r="223" spans="5:6">
      <c r="E223" s="304"/>
      <c r="F223" s="304"/>
    </row>
    <row r="224" spans="5:6">
      <c r="E224" s="304"/>
      <c r="F224" s="304"/>
    </row>
    <row r="225" spans="5:6">
      <c r="E225" s="304"/>
      <c r="F225" s="304"/>
    </row>
    <row r="226" spans="5:6">
      <c r="E226" s="304"/>
      <c r="F226" s="304"/>
    </row>
    <row r="227" spans="5:6">
      <c r="E227" s="304"/>
      <c r="F227" s="304"/>
    </row>
    <row r="228" spans="5:6">
      <c r="E228" s="304"/>
      <c r="F228" s="304"/>
    </row>
    <row r="229" spans="5:6">
      <c r="E229" s="304"/>
      <c r="F229" s="304"/>
    </row>
    <row r="230" spans="5:6">
      <c r="E230" s="304"/>
      <c r="F230" s="304"/>
    </row>
    <row r="231" spans="5:6">
      <c r="E231" s="304"/>
      <c r="F231" s="304"/>
    </row>
    <row r="232" spans="5:6">
      <c r="E232" s="304"/>
      <c r="F232" s="304"/>
    </row>
    <row r="233" spans="5:6">
      <c r="E233" s="304"/>
      <c r="F233" s="304"/>
    </row>
    <row r="234" spans="5:6">
      <c r="E234" s="304"/>
      <c r="F234" s="304"/>
    </row>
    <row r="235" spans="5:6">
      <c r="E235" s="304"/>
      <c r="F235" s="304"/>
    </row>
    <row r="236" spans="5:6">
      <c r="E236" s="304"/>
      <c r="F236" s="304"/>
    </row>
    <row r="237" spans="5:6">
      <c r="E237" s="304"/>
      <c r="F237" s="304"/>
    </row>
    <row r="238" spans="5:6">
      <c r="E238" s="304"/>
      <c r="F238" s="304"/>
    </row>
    <row r="239" spans="5:6">
      <c r="E239" s="304"/>
      <c r="F239" s="304"/>
    </row>
    <row r="240" spans="5:6">
      <c r="E240" s="304"/>
      <c r="F240" s="304"/>
    </row>
    <row r="241" spans="5:6">
      <c r="E241" s="304"/>
      <c r="F241" s="304"/>
    </row>
    <row r="242" spans="5:6">
      <c r="E242" s="304"/>
      <c r="F242" s="304"/>
    </row>
    <row r="243" spans="5:6">
      <c r="E243" s="304"/>
      <c r="F243" s="304"/>
    </row>
    <row r="244" spans="5:6">
      <c r="E244" s="304"/>
      <c r="F244" s="304"/>
    </row>
    <row r="245" spans="5:6">
      <c r="E245" s="304"/>
      <c r="F245" s="304"/>
    </row>
    <row r="246" spans="5:6">
      <c r="E246" s="304"/>
      <c r="F246" s="304"/>
    </row>
    <row r="247" spans="5:6">
      <c r="E247" s="304"/>
      <c r="F247" s="304"/>
    </row>
    <row r="248" spans="5:6">
      <c r="E248" s="304"/>
      <c r="F248" s="304"/>
    </row>
    <row r="249" spans="5:6">
      <c r="E249" s="304"/>
      <c r="F249" s="304"/>
    </row>
    <row r="250" spans="5:6">
      <c r="E250" s="304"/>
      <c r="F250" s="304"/>
    </row>
    <row r="251" spans="5:6">
      <c r="E251" s="304"/>
      <c r="F251" s="304"/>
    </row>
    <row r="252" spans="5:6">
      <c r="E252" s="304"/>
      <c r="F252" s="304"/>
    </row>
    <row r="253" spans="5:6">
      <c r="E253" s="304"/>
      <c r="F253" s="304"/>
    </row>
    <row r="254" spans="5:6">
      <c r="E254" s="304"/>
      <c r="F254" s="304"/>
    </row>
    <row r="255" spans="5:6">
      <c r="E255" s="304"/>
      <c r="F255" s="304"/>
    </row>
    <row r="256" spans="5:6">
      <c r="E256" s="304"/>
      <c r="F256" s="304"/>
    </row>
    <row r="257" spans="5:6">
      <c r="E257" s="304"/>
      <c r="F257" s="304"/>
    </row>
    <row r="258" spans="5:6">
      <c r="E258" s="304"/>
      <c r="F258" s="304"/>
    </row>
    <row r="259" spans="5:6">
      <c r="E259" s="304"/>
      <c r="F259" s="304"/>
    </row>
    <row r="260" spans="5:6">
      <c r="E260" s="304"/>
      <c r="F260" s="304"/>
    </row>
    <row r="261" spans="5:6">
      <c r="E261" s="304"/>
      <c r="F261" s="304"/>
    </row>
    <row r="262" spans="5:6">
      <c r="E262" s="304"/>
      <c r="F262" s="304"/>
    </row>
    <row r="263" spans="5:6">
      <c r="E263" s="304"/>
      <c r="F263" s="304"/>
    </row>
    <row r="264" spans="5:6">
      <c r="E264" s="304"/>
      <c r="F264" s="304"/>
    </row>
    <row r="265" spans="5:6">
      <c r="E265" s="304"/>
      <c r="F265" s="304"/>
    </row>
    <row r="266" spans="5:6">
      <c r="E266" s="304"/>
      <c r="F266" s="304"/>
    </row>
    <row r="267" spans="5:6">
      <c r="E267" s="304"/>
      <c r="F267" s="304"/>
    </row>
    <row r="268" spans="5:6">
      <c r="E268" s="304"/>
      <c r="F268" s="304"/>
    </row>
    <row r="269" spans="5:6">
      <c r="E269" s="304"/>
      <c r="F269" s="304"/>
    </row>
    <row r="270" spans="5:6">
      <c r="E270" s="304"/>
      <c r="F270" s="304"/>
    </row>
    <row r="271" spans="5:6">
      <c r="E271" s="304"/>
      <c r="F271" s="304"/>
    </row>
    <row r="272" spans="5:6">
      <c r="E272" s="304"/>
      <c r="F272" s="304"/>
    </row>
    <row r="273" spans="5:6">
      <c r="E273" s="304"/>
      <c r="F273" s="304"/>
    </row>
    <row r="274" spans="5:6">
      <c r="E274" s="304"/>
      <c r="F274" s="304"/>
    </row>
    <row r="275" spans="5:6">
      <c r="E275" s="304"/>
      <c r="F275" s="304"/>
    </row>
    <row r="276" spans="5:6">
      <c r="E276" s="304"/>
      <c r="F276" s="304"/>
    </row>
    <row r="277" spans="5:6">
      <c r="E277" s="304"/>
      <c r="F277" s="304"/>
    </row>
    <row r="278" spans="5:6">
      <c r="E278" s="304"/>
      <c r="F278" s="304"/>
    </row>
    <row r="279" spans="5:6">
      <c r="E279" s="304"/>
      <c r="F279" s="304"/>
    </row>
    <row r="280" spans="5:6">
      <c r="E280" s="304"/>
      <c r="F280" s="304"/>
    </row>
    <row r="281" spans="5:6">
      <c r="E281" s="304"/>
      <c r="F281" s="304"/>
    </row>
    <row r="282" spans="5:6">
      <c r="E282" s="304"/>
      <c r="F282" s="304"/>
    </row>
    <row r="283" spans="5:6">
      <c r="E283" s="304"/>
      <c r="F283" s="304"/>
    </row>
    <row r="284" spans="5:6">
      <c r="E284" s="304"/>
      <c r="F284" s="304"/>
    </row>
    <row r="285" spans="5:6">
      <c r="E285" s="304"/>
      <c r="F285" s="304"/>
    </row>
    <row r="286" spans="5:6">
      <c r="E286" s="304"/>
      <c r="F286" s="304"/>
    </row>
    <row r="287" spans="5:6">
      <c r="E287" s="304"/>
      <c r="F287" s="304"/>
    </row>
    <row r="288" spans="5:6">
      <c r="E288" s="304"/>
      <c r="F288" s="304"/>
    </row>
    <row r="289" spans="5:6">
      <c r="E289" s="304"/>
      <c r="F289" s="304"/>
    </row>
    <row r="290" spans="5:6">
      <c r="E290" s="304"/>
      <c r="F290" s="304"/>
    </row>
    <row r="291" spans="5:6">
      <c r="E291" s="304"/>
      <c r="F291" s="304"/>
    </row>
    <row r="292" spans="5:6">
      <c r="E292" s="304"/>
      <c r="F292" s="304"/>
    </row>
    <row r="293" spans="5:6">
      <c r="E293" s="304"/>
      <c r="F293" s="304"/>
    </row>
    <row r="294" spans="5:6">
      <c r="E294" s="304"/>
      <c r="F294" s="304"/>
    </row>
    <row r="295" spans="5:6">
      <c r="E295" s="304"/>
      <c r="F295" s="304"/>
    </row>
    <row r="296" spans="5:6">
      <c r="E296" s="304"/>
      <c r="F296" s="304"/>
    </row>
    <row r="297" spans="5:6">
      <c r="E297" s="304"/>
      <c r="F297" s="304"/>
    </row>
    <row r="298" spans="5:6">
      <c r="E298" s="304"/>
      <c r="F298" s="304"/>
    </row>
    <row r="299" spans="5:6">
      <c r="E299" s="304"/>
      <c r="F299" s="304"/>
    </row>
    <row r="300" spans="5:6">
      <c r="E300" s="304"/>
      <c r="F300" s="304"/>
    </row>
    <row r="301" spans="5:6">
      <c r="E301" s="304"/>
      <c r="F301" s="304"/>
    </row>
    <row r="302" spans="5:6">
      <c r="E302" s="304"/>
      <c r="F302" s="304"/>
    </row>
    <row r="303" spans="5:6">
      <c r="E303" s="304"/>
      <c r="F303" s="304"/>
    </row>
    <row r="304" spans="5:6">
      <c r="E304" s="304"/>
      <c r="F304" s="304"/>
    </row>
    <row r="305" spans="5:6">
      <c r="E305" s="304"/>
      <c r="F305" s="304"/>
    </row>
    <row r="306" spans="5:6">
      <c r="E306" s="304"/>
      <c r="F306" s="304"/>
    </row>
    <row r="307" spans="5:6">
      <c r="E307" s="304"/>
      <c r="F307" s="304"/>
    </row>
    <row r="308" spans="5:6">
      <c r="E308" s="304"/>
      <c r="F308" s="304"/>
    </row>
    <row r="309" spans="5:6">
      <c r="E309" s="304"/>
      <c r="F309" s="304"/>
    </row>
    <row r="310" spans="5:6">
      <c r="E310" s="304"/>
      <c r="F310" s="304"/>
    </row>
    <row r="311" spans="5:6">
      <c r="E311" s="304"/>
      <c r="F311" s="304"/>
    </row>
    <row r="312" spans="5:6">
      <c r="E312" s="304"/>
      <c r="F312" s="304"/>
    </row>
    <row r="313" spans="5:6">
      <c r="E313" s="304"/>
      <c r="F313" s="304"/>
    </row>
    <row r="314" spans="5:6">
      <c r="E314" s="304"/>
      <c r="F314" s="304"/>
    </row>
    <row r="315" spans="5:6">
      <c r="E315" s="304"/>
      <c r="F315" s="304"/>
    </row>
    <row r="316" spans="5:6">
      <c r="E316" s="304"/>
      <c r="F316" s="304"/>
    </row>
    <row r="317" spans="5:6">
      <c r="E317" s="304"/>
      <c r="F317" s="304"/>
    </row>
    <row r="318" spans="5:6">
      <c r="E318" s="304"/>
      <c r="F318" s="304"/>
    </row>
    <row r="319" spans="5:6">
      <c r="E319" s="304"/>
      <c r="F319" s="304"/>
    </row>
    <row r="320" spans="5:6">
      <c r="E320" s="304"/>
      <c r="F320" s="304"/>
    </row>
    <row r="321" spans="5:6">
      <c r="E321" s="304"/>
      <c r="F321" s="304"/>
    </row>
    <row r="322" spans="5:6">
      <c r="E322" s="304"/>
      <c r="F322" s="304"/>
    </row>
    <row r="323" spans="5:6">
      <c r="E323" s="304"/>
      <c r="F323" s="304"/>
    </row>
    <row r="324" spans="5:6">
      <c r="E324" s="304"/>
      <c r="F324" s="304"/>
    </row>
    <row r="325" spans="5:6">
      <c r="E325" s="304"/>
      <c r="F325" s="304"/>
    </row>
    <row r="326" spans="5:6">
      <c r="E326" s="304"/>
      <c r="F326" s="304"/>
    </row>
    <row r="327" spans="5:6">
      <c r="E327" s="304"/>
      <c r="F327" s="304"/>
    </row>
    <row r="328" spans="5:6">
      <c r="E328" s="304"/>
      <c r="F328" s="304"/>
    </row>
    <row r="329" spans="5:6">
      <c r="E329" s="304"/>
      <c r="F329" s="304"/>
    </row>
    <row r="330" spans="5:6">
      <c r="E330" s="304"/>
      <c r="F330" s="304"/>
    </row>
    <row r="331" spans="5:6">
      <c r="E331" s="304"/>
      <c r="F331" s="304"/>
    </row>
    <row r="332" spans="5:6">
      <c r="E332" s="304"/>
      <c r="F332" s="304"/>
    </row>
    <row r="333" spans="5:6">
      <c r="E333" s="304"/>
      <c r="F333" s="304"/>
    </row>
    <row r="334" spans="5:6">
      <c r="E334" s="304"/>
      <c r="F334" s="304"/>
    </row>
    <row r="335" spans="5:6">
      <c r="E335" s="304"/>
      <c r="F335" s="304"/>
    </row>
    <row r="336" spans="5:6">
      <c r="E336" s="304"/>
      <c r="F336" s="304"/>
    </row>
    <row r="337" spans="5:6">
      <c r="E337" s="304"/>
      <c r="F337" s="304"/>
    </row>
    <row r="338" spans="5:6">
      <c r="E338" s="304"/>
      <c r="F338" s="304"/>
    </row>
    <row r="339" spans="5:6">
      <c r="E339" s="304"/>
      <c r="F339" s="304"/>
    </row>
    <row r="340" spans="5:6">
      <c r="E340" s="304"/>
      <c r="F340" s="304"/>
    </row>
    <row r="341" spans="5:6">
      <c r="E341" s="304"/>
      <c r="F341" s="304"/>
    </row>
    <row r="342" spans="5:6">
      <c r="E342" s="304"/>
      <c r="F342" s="304"/>
    </row>
    <row r="343" spans="5:6">
      <c r="E343" s="304"/>
      <c r="F343" s="304"/>
    </row>
    <row r="344" spans="5:6">
      <c r="E344" s="304"/>
      <c r="F344" s="304"/>
    </row>
    <row r="345" spans="5:6">
      <c r="E345" s="304"/>
      <c r="F345" s="304"/>
    </row>
    <row r="346" spans="5:6">
      <c r="E346" s="304"/>
      <c r="F346" s="304"/>
    </row>
    <row r="347" spans="5:6">
      <c r="E347" s="304"/>
      <c r="F347" s="304"/>
    </row>
    <row r="348" spans="5:6">
      <c r="E348" s="304"/>
      <c r="F348" s="304"/>
    </row>
    <row r="349" spans="5:6">
      <c r="E349" s="304"/>
      <c r="F349" s="304"/>
    </row>
    <row r="350" spans="5:6">
      <c r="E350" s="304"/>
      <c r="F350" s="304"/>
    </row>
    <row r="351" spans="5:6">
      <c r="E351" s="304"/>
      <c r="F351" s="304"/>
    </row>
    <row r="352" spans="5:6">
      <c r="E352" s="304"/>
      <c r="F352" s="304"/>
    </row>
    <row r="353" spans="5:6">
      <c r="E353" s="304"/>
      <c r="F353" s="304"/>
    </row>
    <row r="354" spans="5:6">
      <c r="E354" s="304"/>
      <c r="F354" s="304"/>
    </row>
    <row r="355" spans="5:6">
      <c r="E355" s="304"/>
      <c r="F355" s="304"/>
    </row>
    <row r="356" spans="5:6">
      <c r="E356" s="304"/>
      <c r="F356" s="304"/>
    </row>
    <row r="357" spans="5:6">
      <c r="E357" s="304"/>
      <c r="F357" s="304"/>
    </row>
    <row r="358" spans="5:6">
      <c r="E358" s="304"/>
      <c r="F358" s="304"/>
    </row>
    <row r="359" spans="5:6">
      <c r="E359" s="304"/>
      <c r="F359" s="304"/>
    </row>
    <row r="360" spans="5:6">
      <c r="E360" s="304"/>
      <c r="F360" s="304"/>
    </row>
    <row r="361" spans="5:6">
      <c r="E361" s="304"/>
      <c r="F361" s="304"/>
    </row>
    <row r="362" spans="5:6">
      <c r="E362" s="304"/>
      <c r="F362" s="304"/>
    </row>
    <row r="363" spans="5:6">
      <c r="E363" s="304"/>
      <c r="F363" s="304"/>
    </row>
    <row r="364" spans="5:6">
      <c r="E364" s="304"/>
      <c r="F364" s="304"/>
    </row>
    <row r="365" spans="5:6">
      <c r="E365" s="304"/>
      <c r="F365" s="304"/>
    </row>
    <row r="366" spans="5:6">
      <c r="E366" s="304"/>
      <c r="F366" s="304"/>
    </row>
    <row r="367" spans="5:6">
      <c r="E367" s="304"/>
      <c r="F367" s="304"/>
    </row>
    <row r="368" spans="5:6">
      <c r="E368" s="304"/>
      <c r="F368" s="304"/>
    </row>
    <row r="369" spans="5:6">
      <c r="E369" s="304"/>
      <c r="F369" s="304"/>
    </row>
    <row r="370" spans="5:6">
      <c r="E370" s="304"/>
      <c r="F370" s="304"/>
    </row>
    <row r="371" spans="5:6">
      <c r="E371" s="304"/>
      <c r="F371" s="304"/>
    </row>
    <row r="372" spans="5:6">
      <c r="E372" s="304"/>
      <c r="F372" s="304"/>
    </row>
    <row r="373" spans="5:6">
      <c r="E373" s="304"/>
      <c r="F373" s="304"/>
    </row>
    <row r="374" spans="5:6">
      <c r="E374" s="304"/>
      <c r="F374" s="304"/>
    </row>
    <row r="375" spans="5:6">
      <c r="E375" s="304"/>
      <c r="F375" s="304"/>
    </row>
    <row r="376" spans="5:6">
      <c r="E376" s="304"/>
      <c r="F376" s="304"/>
    </row>
    <row r="377" spans="5:6">
      <c r="E377" s="304"/>
      <c r="F377" s="304"/>
    </row>
    <row r="378" spans="5:6">
      <c r="E378" s="304"/>
      <c r="F378" s="304"/>
    </row>
    <row r="379" spans="5:6">
      <c r="E379" s="304"/>
      <c r="F379" s="304"/>
    </row>
    <row r="380" spans="5:6">
      <c r="E380" s="304"/>
      <c r="F380" s="304"/>
    </row>
    <row r="381" spans="5:6">
      <c r="E381" s="304"/>
      <c r="F381" s="304"/>
    </row>
    <row r="382" spans="5:6">
      <c r="E382" s="304"/>
      <c r="F382" s="304"/>
    </row>
    <row r="383" spans="5:6">
      <c r="E383" s="304"/>
      <c r="F383" s="304"/>
    </row>
    <row r="384" spans="5:6">
      <c r="E384" s="304"/>
      <c r="F384" s="304"/>
    </row>
    <row r="385" spans="5:6">
      <c r="E385" s="304"/>
      <c r="F385" s="304"/>
    </row>
    <row r="386" spans="5:6">
      <c r="E386" s="304"/>
      <c r="F386" s="304"/>
    </row>
    <row r="387" spans="5:6">
      <c r="E387" s="304"/>
      <c r="F387" s="304"/>
    </row>
    <row r="388" spans="5:6">
      <c r="E388" s="304"/>
      <c r="F388" s="304"/>
    </row>
    <row r="389" spans="5:6">
      <c r="E389" s="304"/>
      <c r="F389" s="304"/>
    </row>
    <row r="390" spans="5:6">
      <c r="E390" s="304"/>
      <c r="F390" s="304"/>
    </row>
    <row r="391" spans="5:6">
      <c r="E391" s="304"/>
      <c r="F391" s="304"/>
    </row>
    <row r="392" spans="5:6">
      <c r="E392" s="304"/>
      <c r="F392" s="304"/>
    </row>
    <row r="393" spans="5:6">
      <c r="E393" s="304"/>
      <c r="F393" s="304"/>
    </row>
    <row r="394" spans="5:6">
      <c r="E394" s="304"/>
      <c r="F394" s="304"/>
    </row>
    <row r="395" spans="5:6">
      <c r="E395" s="304"/>
      <c r="F395" s="304"/>
    </row>
    <row r="396" spans="5:6">
      <c r="E396" s="304"/>
      <c r="F396" s="304"/>
    </row>
    <row r="397" spans="5:6">
      <c r="E397" s="304"/>
      <c r="F397" s="304"/>
    </row>
    <row r="398" spans="5:6">
      <c r="E398" s="304"/>
      <c r="F398" s="304"/>
    </row>
    <row r="399" spans="5:6">
      <c r="E399" s="304"/>
      <c r="F399" s="304"/>
    </row>
    <row r="400" spans="5:6">
      <c r="E400" s="304"/>
      <c r="F400" s="304"/>
    </row>
    <row r="401" spans="5:6">
      <c r="E401" s="304"/>
      <c r="F401" s="304"/>
    </row>
    <row r="402" spans="5:6">
      <c r="E402" s="304"/>
      <c r="F402" s="304"/>
    </row>
    <row r="403" spans="5:6">
      <c r="E403" s="304"/>
      <c r="F403" s="304"/>
    </row>
    <row r="404" spans="5:6">
      <c r="E404" s="304"/>
      <c r="F404" s="304"/>
    </row>
    <row r="405" spans="5:6">
      <c r="E405" s="304"/>
      <c r="F405" s="304"/>
    </row>
    <row r="406" spans="5:6">
      <c r="E406" s="304"/>
      <c r="F406" s="304"/>
    </row>
    <row r="407" spans="5:6">
      <c r="E407" s="304"/>
      <c r="F407" s="304"/>
    </row>
    <row r="408" spans="5:6">
      <c r="E408" s="304"/>
      <c r="F408" s="304"/>
    </row>
    <row r="409" spans="5:6">
      <c r="E409" s="304"/>
      <c r="F409" s="304"/>
    </row>
    <row r="410" spans="5:6">
      <c r="E410" s="304"/>
      <c r="F410" s="304"/>
    </row>
    <row r="411" spans="5:6">
      <c r="E411" s="304"/>
      <c r="F411" s="304"/>
    </row>
    <row r="412" spans="5:6">
      <c r="E412" s="304"/>
      <c r="F412" s="304"/>
    </row>
    <row r="413" spans="5:6">
      <c r="E413" s="304"/>
      <c r="F413" s="304"/>
    </row>
    <row r="414" spans="5:6">
      <c r="E414" s="304"/>
      <c r="F414" s="304"/>
    </row>
    <row r="415" spans="5:6">
      <c r="E415" s="304"/>
      <c r="F415" s="304"/>
    </row>
    <row r="416" spans="5:6">
      <c r="E416" s="304"/>
      <c r="F416" s="304"/>
    </row>
    <row r="417" spans="5:6">
      <c r="E417" s="304"/>
      <c r="F417" s="304"/>
    </row>
    <row r="418" spans="5:6">
      <c r="E418" s="304"/>
      <c r="F418" s="304"/>
    </row>
    <row r="419" spans="5:6">
      <c r="E419" s="304"/>
      <c r="F419" s="304"/>
    </row>
    <row r="420" spans="5:6">
      <c r="E420" s="304"/>
      <c r="F420" s="304"/>
    </row>
    <row r="421" spans="5:6">
      <c r="E421" s="304"/>
      <c r="F421" s="304"/>
    </row>
    <row r="422" spans="5:6">
      <c r="E422" s="304"/>
      <c r="F422" s="304"/>
    </row>
    <row r="423" spans="5:6">
      <c r="E423" s="304"/>
      <c r="F423" s="304"/>
    </row>
    <row r="424" spans="5:6">
      <c r="E424" s="304"/>
      <c r="F424" s="304"/>
    </row>
    <row r="425" spans="5:6">
      <c r="E425" s="304"/>
      <c r="F425" s="304"/>
    </row>
    <row r="426" spans="5:6">
      <c r="E426" s="304"/>
      <c r="F426" s="304"/>
    </row>
    <row r="427" spans="5:6">
      <c r="E427" s="304"/>
      <c r="F427" s="304"/>
    </row>
    <row r="428" spans="5:6">
      <c r="E428" s="304"/>
      <c r="F428" s="304"/>
    </row>
    <row r="429" spans="5:6">
      <c r="E429" s="304"/>
      <c r="F429" s="304"/>
    </row>
    <row r="430" spans="5:6">
      <c r="E430" s="304"/>
      <c r="F430" s="304"/>
    </row>
    <row r="431" spans="5:6">
      <c r="E431" s="304"/>
      <c r="F431" s="304"/>
    </row>
    <row r="432" spans="5:6">
      <c r="E432" s="304"/>
      <c r="F432" s="304"/>
    </row>
    <row r="433" spans="5:6">
      <c r="E433" s="304"/>
      <c r="F433" s="304"/>
    </row>
    <row r="434" spans="5:6">
      <c r="E434" s="304"/>
      <c r="F434" s="304"/>
    </row>
    <row r="435" spans="5:6">
      <c r="E435" s="304"/>
      <c r="F435" s="304"/>
    </row>
    <row r="436" spans="5:6">
      <c r="E436" s="304"/>
      <c r="F436" s="304"/>
    </row>
    <row r="437" spans="5:6">
      <c r="E437" s="304"/>
      <c r="F437" s="304"/>
    </row>
    <row r="438" spans="5:6">
      <c r="E438" s="304"/>
      <c r="F438" s="304"/>
    </row>
    <row r="439" spans="5:6">
      <c r="E439" s="304"/>
      <c r="F439" s="304"/>
    </row>
    <row r="440" spans="5:6">
      <c r="E440" s="304"/>
      <c r="F440" s="304"/>
    </row>
    <row r="441" spans="5:6">
      <c r="E441" s="304"/>
      <c r="F441" s="304"/>
    </row>
    <row r="442" spans="5:6">
      <c r="E442" s="304"/>
      <c r="F442" s="304"/>
    </row>
    <row r="443" spans="5:6">
      <c r="E443" s="304"/>
      <c r="F443" s="304"/>
    </row>
    <row r="444" spans="5:6">
      <c r="E444" s="304"/>
      <c r="F444" s="304"/>
    </row>
    <row r="445" spans="5:6">
      <c r="E445" s="304"/>
      <c r="F445" s="304"/>
    </row>
    <row r="446" spans="5:6">
      <c r="E446" s="304"/>
      <c r="F446" s="304"/>
    </row>
    <row r="447" spans="5:6">
      <c r="E447" s="304"/>
      <c r="F447" s="304"/>
    </row>
    <row r="448" spans="5:6">
      <c r="E448" s="304"/>
      <c r="F448" s="304"/>
    </row>
    <row r="449" spans="5:6">
      <c r="E449" s="304"/>
      <c r="F449" s="304"/>
    </row>
    <row r="450" spans="5:6">
      <c r="E450" s="304"/>
      <c r="F450" s="304"/>
    </row>
    <row r="451" spans="5:6">
      <c r="E451" s="304"/>
      <c r="F451" s="304"/>
    </row>
    <row r="452" spans="5:6">
      <c r="E452" s="304"/>
      <c r="F452" s="304"/>
    </row>
    <row r="453" spans="5:6">
      <c r="E453" s="304"/>
      <c r="F453" s="304"/>
    </row>
    <row r="454" spans="5:6">
      <c r="E454" s="304"/>
      <c r="F454" s="304"/>
    </row>
    <row r="455" spans="5:6">
      <c r="E455" s="304"/>
      <c r="F455" s="304"/>
    </row>
    <row r="456" spans="5:6">
      <c r="E456" s="304"/>
      <c r="F456" s="304"/>
    </row>
    <row r="457" spans="5:6">
      <c r="E457" s="304"/>
      <c r="F457" s="304"/>
    </row>
    <row r="458" spans="5:6">
      <c r="E458" s="304"/>
      <c r="F458" s="304"/>
    </row>
    <row r="459" spans="5:6">
      <c r="E459" s="304"/>
      <c r="F459" s="304"/>
    </row>
    <row r="460" spans="5:6">
      <c r="E460" s="304"/>
      <c r="F460" s="304"/>
    </row>
    <row r="461" spans="5:6">
      <c r="E461" s="304"/>
      <c r="F461" s="304"/>
    </row>
    <row r="462" spans="5:6">
      <c r="E462" s="304"/>
      <c r="F462" s="304"/>
    </row>
    <row r="463" spans="5:6">
      <c r="E463" s="304"/>
      <c r="F463" s="304"/>
    </row>
    <row r="464" spans="5:6">
      <c r="E464" s="304"/>
      <c r="F464" s="304"/>
    </row>
    <row r="465" spans="5:6">
      <c r="E465" s="304"/>
      <c r="F465" s="304"/>
    </row>
    <row r="466" spans="5:6">
      <c r="E466" s="304"/>
      <c r="F466" s="304"/>
    </row>
    <row r="467" spans="5:6">
      <c r="E467" s="304"/>
      <c r="F467" s="304"/>
    </row>
    <row r="468" spans="5:6">
      <c r="E468" s="304"/>
      <c r="F468" s="304"/>
    </row>
    <row r="469" spans="5:6">
      <c r="E469" s="304"/>
      <c r="F469" s="304"/>
    </row>
    <row r="470" spans="5:6">
      <c r="E470" s="304"/>
      <c r="F470" s="304"/>
    </row>
    <row r="471" spans="5:6">
      <c r="E471" s="304"/>
      <c r="F471" s="304"/>
    </row>
    <row r="472" spans="5:6">
      <c r="E472" s="304"/>
      <c r="F472" s="304"/>
    </row>
    <row r="473" spans="5:6">
      <c r="E473" s="304"/>
      <c r="F473" s="304"/>
    </row>
    <row r="474" spans="5:6">
      <c r="E474" s="304"/>
      <c r="F474" s="304"/>
    </row>
    <row r="475" spans="5:6">
      <c r="E475" s="304"/>
      <c r="F475" s="304"/>
    </row>
    <row r="476" spans="5:6">
      <c r="E476" s="304"/>
      <c r="F476" s="304"/>
    </row>
    <row r="477" spans="5:6">
      <c r="E477" s="304"/>
      <c r="F477" s="304"/>
    </row>
    <row r="478" spans="5:6">
      <c r="E478" s="304"/>
      <c r="F478" s="304"/>
    </row>
    <row r="479" spans="5:6">
      <c r="E479" s="304"/>
      <c r="F479" s="304"/>
    </row>
    <row r="480" spans="5:6">
      <c r="E480" s="304"/>
      <c r="F480" s="304"/>
    </row>
    <row r="481" spans="5:6">
      <c r="E481" s="304"/>
      <c r="F481" s="304"/>
    </row>
    <row r="482" spans="5:6">
      <c r="E482" s="304"/>
      <c r="F482" s="304"/>
    </row>
    <row r="483" spans="5:6">
      <c r="E483" s="304"/>
      <c r="F483" s="304"/>
    </row>
    <row r="484" spans="5:6">
      <c r="E484" s="304"/>
      <c r="F484" s="304"/>
    </row>
    <row r="485" spans="5:6">
      <c r="E485" s="304"/>
      <c r="F485" s="304"/>
    </row>
    <row r="486" spans="5:6">
      <c r="E486" s="304"/>
      <c r="F486" s="304"/>
    </row>
    <row r="487" spans="5:6">
      <c r="E487" s="304"/>
      <c r="F487" s="304"/>
    </row>
    <row r="488" spans="5:6">
      <c r="E488" s="304"/>
      <c r="F488" s="304"/>
    </row>
    <row r="489" spans="5:6">
      <c r="E489" s="304"/>
      <c r="F489" s="304"/>
    </row>
    <row r="490" spans="5:6">
      <c r="E490" s="304"/>
      <c r="F490" s="304"/>
    </row>
    <row r="491" spans="5:6">
      <c r="E491" s="304"/>
      <c r="F491" s="304"/>
    </row>
    <row r="492" spans="5:6">
      <c r="E492" s="304"/>
      <c r="F492" s="304"/>
    </row>
    <row r="493" spans="5:6">
      <c r="E493" s="304"/>
      <c r="F493" s="304"/>
    </row>
    <row r="494" spans="5:6">
      <c r="E494" s="304"/>
      <c r="F494" s="304"/>
    </row>
    <row r="495" spans="5:6">
      <c r="E495" s="304"/>
      <c r="F495" s="304"/>
    </row>
    <row r="496" spans="5:6">
      <c r="E496" s="304"/>
      <c r="F496" s="304"/>
    </row>
    <row r="497" spans="5:6">
      <c r="E497" s="304"/>
      <c r="F497" s="304"/>
    </row>
    <row r="498" spans="5:6">
      <c r="E498" s="304"/>
      <c r="F498" s="304"/>
    </row>
    <row r="499" spans="5:6">
      <c r="E499" s="304"/>
      <c r="F499" s="304"/>
    </row>
    <row r="500" spans="5:6">
      <c r="E500" s="304"/>
      <c r="F500" s="304"/>
    </row>
    <row r="501" spans="5:6">
      <c r="E501" s="304"/>
      <c r="F501" s="304"/>
    </row>
    <row r="502" spans="5:6">
      <c r="E502" s="304"/>
      <c r="F502" s="304"/>
    </row>
    <row r="503" spans="5:6">
      <c r="E503" s="304"/>
      <c r="F503" s="304"/>
    </row>
    <row r="504" spans="5:6">
      <c r="E504" s="304"/>
      <c r="F504" s="304"/>
    </row>
    <row r="505" spans="5:6">
      <c r="E505" s="304"/>
      <c r="F505" s="304"/>
    </row>
    <row r="506" spans="5:6">
      <c r="E506" s="304"/>
      <c r="F506" s="304"/>
    </row>
    <row r="507" spans="5:6">
      <c r="E507" s="304"/>
      <c r="F507" s="304"/>
    </row>
    <row r="508" spans="5:6">
      <c r="E508" s="304"/>
      <c r="F508" s="304"/>
    </row>
    <row r="509" spans="5:6">
      <c r="E509" s="304"/>
      <c r="F509" s="304"/>
    </row>
    <row r="510" spans="5:6">
      <c r="E510" s="304"/>
      <c r="F510" s="304"/>
    </row>
    <row r="511" spans="5:6">
      <c r="E511" s="304"/>
      <c r="F511" s="304"/>
    </row>
    <row r="512" spans="5:6">
      <c r="E512" s="304"/>
      <c r="F512" s="304"/>
    </row>
    <row r="513" spans="5:6">
      <c r="E513" s="304"/>
      <c r="F513" s="304"/>
    </row>
    <row r="514" spans="5:6">
      <c r="E514" s="304"/>
      <c r="F514" s="304"/>
    </row>
    <row r="515" spans="5:6">
      <c r="E515" s="304"/>
      <c r="F515" s="304"/>
    </row>
    <row r="516" spans="5:6">
      <c r="E516" s="304"/>
      <c r="F516" s="304"/>
    </row>
    <row r="517" spans="5:6">
      <c r="E517" s="304"/>
      <c r="F517" s="304"/>
    </row>
    <row r="518" spans="5:6">
      <c r="E518" s="304"/>
      <c r="F518" s="304"/>
    </row>
    <row r="519" spans="5:6">
      <c r="E519" s="304"/>
      <c r="F519" s="304"/>
    </row>
    <row r="520" spans="5:6">
      <c r="E520" s="304"/>
      <c r="F520" s="304"/>
    </row>
    <row r="521" spans="5:6">
      <c r="E521" s="304"/>
      <c r="F521" s="304"/>
    </row>
    <row r="522" spans="5:6">
      <c r="E522" s="304"/>
      <c r="F522" s="304"/>
    </row>
    <row r="523" spans="5:6">
      <c r="E523" s="304"/>
      <c r="F523" s="304"/>
    </row>
    <row r="524" spans="5:6">
      <c r="E524" s="304"/>
      <c r="F524" s="304"/>
    </row>
    <row r="525" spans="5:6">
      <c r="E525" s="304"/>
      <c r="F525" s="304"/>
    </row>
    <row r="526" spans="5:6">
      <c r="E526" s="304"/>
      <c r="F526" s="304"/>
    </row>
    <row r="527" spans="5:6">
      <c r="E527" s="304"/>
      <c r="F527" s="304"/>
    </row>
    <row r="528" spans="5:6">
      <c r="E528" s="304"/>
      <c r="F528" s="304"/>
    </row>
    <row r="529" spans="5:6">
      <c r="E529" s="304"/>
      <c r="F529" s="304"/>
    </row>
    <row r="530" spans="5:6">
      <c r="E530" s="304"/>
      <c r="F530" s="304"/>
    </row>
    <row r="531" spans="5:6">
      <c r="E531" s="304"/>
      <c r="F531" s="304"/>
    </row>
    <row r="532" spans="5:6">
      <c r="E532" s="304"/>
      <c r="F532" s="304"/>
    </row>
    <row r="533" spans="5:6">
      <c r="E533" s="304"/>
      <c r="F533" s="304"/>
    </row>
    <row r="534" spans="5:6">
      <c r="E534" s="304"/>
      <c r="F534" s="304"/>
    </row>
    <row r="535" spans="5:6">
      <c r="E535" s="304"/>
      <c r="F535" s="304"/>
    </row>
    <row r="536" spans="5:6">
      <c r="E536" s="304"/>
      <c r="F536" s="304"/>
    </row>
    <row r="537" spans="5:6">
      <c r="E537" s="304"/>
      <c r="F537" s="304"/>
    </row>
    <row r="538" spans="5:6">
      <c r="E538" s="304"/>
      <c r="F538" s="304"/>
    </row>
    <row r="539" spans="5:6">
      <c r="E539" s="304"/>
      <c r="F539" s="304"/>
    </row>
    <row r="540" spans="5:6">
      <c r="E540" s="304"/>
      <c r="F540" s="304"/>
    </row>
    <row r="541" spans="5:6">
      <c r="E541" s="304"/>
      <c r="F541" s="304"/>
    </row>
    <row r="542" spans="5:6">
      <c r="E542" s="304"/>
      <c r="F542" s="304"/>
    </row>
    <row r="543" spans="5:6">
      <c r="E543" s="304"/>
      <c r="F543" s="304"/>
    </row>
    <row r="544" spans="5:6">
      <c r="E544" s="304"/>
      <c r="F544" s="304"/>
    </row>
    <row r="545" spans="5:6">
      <c r="E545" s="304"/>
      <c r="F545" s="304"/>
    </row>
    <row r="546" spans="5:6">
      <c r="E546" s="304"/>
      <c r="F546" s="304"/>
    </row>
    <row r="547" spans="5:6">
      <c r="E547" s="304"/>
      <c r="F547" s="304"/>
    </row>
    <row r="548" spans="5:6">
      <c r="E548" s="304"/>
      <c r="F548" s="304"/>
    </row>
    <row r="549" spans="5:6">
      <c r="E549" s="304"/>
      <c r="F549" s="304"/>
    </row>
    <row r="550" spans="5:6">
      <c r="E550" s="304"/>
      <c r="F550" s="304"/>
    </row>
    <row r="551" spans="5:6">
      <c r="E551" s="304"/>
      <c r="F551" s="304"/>
    </row>
    <row r="552" spans="5:6">
      <c r="E552" s="304"/>
      <c r="F552" s="304"/>
    </row>
    <row r="553" spans="5:6">
      <c r="E553" s="304"/>
      <c r="F553" s="304"/>
    </row>
    <row r="554" spans="5:6">
      <c r="E554" s="304"/>
      <c r="F554" s="304"/>
    </row>
    <row r="555" spans="5:6">
      <c r="E555" s="304"/>
      <c r="F555" s="304"/>
    </row>
    <row r="556" spans="5:6">
      <c r="E556" s="304"/>
      <c r="F556" s="304"/>
    </row>
    <row r="557" spans="5:6">
      <c r="E557" s="304"/>
      <c r="F557" s="304"/>
    </row>
    <row r="558" spans="5:6">
      <c r="E558" s="304"/>
      <c r="F558" s="304"/>
    </row>
    <row r="559" spans="5:6">
      <c r="E559" s="304"/>
      <c r="F559" s="304"/>
    </row>
    <row r="560" spans="5:6">
      <c r="E560" s="304"/>
      <c r="F560" s="304"/>
    </row>
    <row r="561" spans="5:6">
      <c r="E561" s="304"/>
      <c r="F561" s="304"/>
    </row>
    <row r="562" spans="5:6">
      <c r="E562" s="304"/>
      <c r="F562" s="304"/>
    </row>
    <row r="563" spans="5:6">
      <c r="E563" s="304"/>
      <c r="F563" s="304"/>
    </row>
    <row r="564" spans="5:6">
      <c r="E564" s="304"/>
      <c r="F564" s="304"/>
    </row>
    <row r="565" spans="5:6">
      <c r="E565" s="304"/>
      <c r="F565" s="304"/>
    </row>
    <row r="566" spans="5:6">
      <c r="E566" s="304"/>
      <c r="F566" s="304"/>
    </row>
    <row r="567" spans="5:6">
      <c r="E567" s="304"/>
      <c r="F567" s="304"/>
    </row>
    <row r="568" spans="5:6">
      <c r="E568" s="304"/>
      <c r="F568" s="304"/>
    </row>
    <row r="569" spans="5:6">
      <c r="E569" s="304"/>
      <c r="F569" s="304"/>
    </row>
    <row r="570" spans="5:6">
      <c r="E570" s="304"/>
      <c r="F570" s="304"/>
    </row>
    <row r="571" spans="5:6">
      <c r="E571" s="304"/>
      <c r="F571" s="304"/>
    </row>
    <row r="572" spans="5:6">
      <c r="E572" s="304"/>
      <c r="F572" s="304"/>
    </row>
    <row r="573" spans="5:6">
      <c r="E573" s="304"/>
      <c r="F573" s="304"/>
    </row>
    <row r="574" spans="5:6">
      <c r="E574" s="304"/>
      <c r="F574" s="304"/>
    </row>
    <row r="575" spans="5:6">
      <c r="E575" s="304"/>
      <c r="F575" s="304"/>
    </row>
    <row r="576" spans="5:6">
      <c r="E576" s="304"/>
      <c r="F576" s="304"/>
    </row>
    <row r="577" spans="5:6">
      <c r="E577" s="304"/>
      <c r="F577" s="304"/>
    </row>
    <row r="578" spans="5:6">
      <c r="E578" s="304"/>
      <c r="F578" s="304"/>
    </row>
    <row r="579" spans="5:6">
      <c r="E579" s="304"/>
      <c r="F579" s="304"/>
    </row>
    <row r="580" spans="5:6">
      <c r="E580" s="304"/>
      <c r="F580" s="304"/>
    </row>
    <row r="581" spans="5:6">
      <c r="E581" s="304"/>
      <c r="F581" s="304"/>
    </row>
    <row r="582" spans="5:6">
      <c r="E582" s="304"/>
      <c r="F582" s="304"/>
    </row>
    <row r="583" spans="5:6">
      <c r="E583" s="304"/>
      <c r="F583" s="304"/>
    </row>
    <row r="584" spans="5:6">
      <c r="E584" s="304"/>
      <c r="F584" s="304"/>
    </row>
    <row r="585" spans="5:6">
      <c r="E585" s="304"/>
      <c r="F585" s="304"/>
    </row>
    <row r="586" spans="5:6">
      <c r="E586" s="304"/>
      <c r="F586" s="304"/>
    </row>
    <row r="587" spans="5:6">
      <c r="E587" s="304"/>
      <c r="F587" s="304"/>
    </row>
    <row r="588" spans="5:6">
      <c r="E588" s="304"/>
      <c r="F588" s="304"/>
    </row>
    <row r="589" spans="5:6">
      <c r="E589" s="304"/>
      <c r="F589" s="304"/>
    </row>
    <row r="590" spans="5:6">
      <c r="E590" s="304"/>
      <c r="F590" s="304"/>
    </row>
    <row r="591" spans="5:6">
      <c r="E591" s="304"/>
      <c r="F591" s="304"/>
    </row>
    <row r="592" spans="5:6">
      <c r="E592" s="304"/>
      <c r="F592" s="304"/>
    </row>
    <row r="593" spans="5:6">
      <c r="E593" s="304"/>
      <c r="F593" s="304"/>
    </row>
    <row r="594" spans="5:6">
      <c r="E594" s="304"/>
      <c r="F594" s="304"/>
    </row>
    <row r="595" spans="5:6">
      <c r="E595" s="304"/>
      <c r="F595" s="304"/>
    </row>
    <row r="596" spans="5:6">
      <c r="E596" s="304"/>
      <c r="F596" s="304"/>
    </row>
    <row r="597" spans="5:6">
      <c r="E597" s="304"/>
      <c r="F597" s="304"/>
    </row>
    <row r="598" spans="5:6">
      <c r="E598" s="304"/>
      <c r="F598" s="304"/>
    </row>
    <row r="599" spans="5:6">
      <c r="E599" s="304"/>
      <c r="F599" s="304"/>
    </row>
    <row r="600" spans="5:6">
      <c r="E600" s="304"/>
      <c r="F600" s="304"/>
    </row>
    <row r="601" spans="5:6">
      <c r="E601" s="304"/>
      <c r="F601" s="304"/>
    </row>
    <row r="602" spans="5:6">
      <c r="E602" s="304"/>
      <c r="F602" s="304"/>
    </row>
    <row r="603" spans="5:6">
      <c r="E603" s="304"/>
      <c r="F603" s="304"/>
    </row>
    <row r="604" spans="5:6">
      <c r="E604" s="304"/>
      <c r="F604" s="304"/>
    </row>
    <row r="605" spans="5:6">
      <c r="E605" s="304"/>
      <c r="F605" s="304"/>
    </row>
    <row r="606" spans="5:6">
      <c r="E606" s="304"/>
      <c r="F606" s="304"/>
    </row>
    <row r="607" spans="5:6">
      <c r="E607" s="304"/>
      <c r="F607" s="304"/>
    </row>
    <row r="608" spans="5:6">
      <c r="E608" s="304"/>
      <c r="F608" s="304"/>
    </row>
    <row r="609" spans="5:6">
      <c r="E609" s="304"/>
      <c r="F609" s="304"/>
    </row>
    <row r="610" spans="5:6">
      <c r="E610" s="304"/>
      <c r="F610" s="304"/>
    </row>
    <row r="611" spans="5:6">
      <c r="E611" s="304"/>
      <c r="F611" s="304"/>
    </row>
    <row r="612" spans="5:6">
      <c r="E612" s="304"/>
      <c r="F612" s="304"/>
    </row>
    <row r="613" spans="5:6">
      <c r="E613" s="304"/>
      <c r="F613" s="304"/>
    </row>
    <row r="614" spans="5:6">
      <c r="E614" s="304"/>
      <c r="F614" s="304"/>
    </row>
    <row r="615" spans="5:6">
      <c r="E615" s="304"/>
      <c r="F615" s="304"/>
    </row>
    <row r="616" spans="5:6">
      <c r="E616" s="304"/>
      <c r="F616" s="304"/>
    </row>
    <row r="617" spans="5:6">
      <c r="E617" s="304"/>
      <c r="F617" s="304"/>
    </row>
    <row r="618" spans="5:6">
      <c r="E618" s="304"/>
      <c r="F618" s="304"/>
    </row>
    <row r="619" spans="5:6">
      <c r="E619" s="304"/>
      <c r="F619" s="304"/>
    </row>
    <row r="620" spans="5:6">
      <c r="E620" s="304"/>
      <c r="F620" s="304"/>
    </row>
    <row r="621" spans="5:6">
      <c r="E621" s="304"/>
      <c r="F621" s="304"/>
    </row>
    <row r="622" spans="5:6">
      <c r="E622" s="304"/>
      <c r="F622" s="304"/>
    </row>
    <row r="623" spans="5:6">
      <c r="E623" s="304"/>
      <c r="F623" s="304"/>
    </row>
    <row r="624" spans="5:6">
      <c r="E624" s="304"/>
      <c r="F624" s="304"/>
    </row>
    <row r="625" spans="5:6">
      <c r="E625" s="304"/>
      <c r="F625" s="304"/>
    </row>
    <row r="626" spans="5:6">
      <c r="E626" s="304"/>
      <c r="F626" s="304"/>
    </row>
    <row r="627" spans="5:6">
      <c r="E627" s="304"/>
      <c r="F627" s="304"/>
    </row>
    <row r="628" spans="5:6">
      <c r="E628" s="304"/>
      <c r="F628" s="304"/>
    </row>
    <row r="629" spans="5:6">
      <c r="E629" s="304"/>
      <c r="F629" s="304"/>
    </row>
    <row r="630" spans="5:6">
      <c r="E630" s="304"/>
      <c r="F630" s="304"/>
    </row>
    <row r="631" spans="5:6">
      <c r="E631" s="304"/>
      <c r="F631" s="304"/>
    </row>
    <row r="632" spans="5:6">
      <c r="E632" s="304"/>
      <c r="F632" s="304"/>
    </row>
    <row r="633" spans="5:6">
      <c r="E633" s="304"/>
      <c r="F633" s="304"/>
    </row>
    <row r="634" spans="5:6">
      <c r="E634" s="304"/>
      <c r="F634" s="304"/>
    </row>
    <row r="635" spans="5:6">
      <c r="E635" s="304"/>
      <c r="F635" s="304"/>
    </row>
    <row r="636" spans="5:6">
      <c r="E636" s="304"/>
      <c r="F636" s="304"/>
    </row>
    <row r="637" spans="5:6">
      <c r="E637" s="304"/>
      <c r="F637" s="304"/>
    </row>
    <row r="638" spans="5:6">
      <c r="E638" s="304"/>
      <c r="F638" s="304"/>
    </row>
    <row r="639" spans="5:6">
      <c r="E639" s="304"/>
      <c r="F639" s="304"/>
    </row>
    <row r="640" spans="5:6">
      <c r="E640" s="304"/>
      <c r="F640" s="304"/>
    </row>
    <row r="641" spans="5:6">
      <c r="E641" s="304"/>
      <c r="F641" s="304"/>
    </row>
    <row r="642" spans="5:6">
      <c r="E642" s="304"/>
      <c r="F642" s="304"/>
    </row>
    <row r="643" spans="5:6">
      <c r="E643" s="304"/>
      <c r="F643" s="304"/>
    </row>
    <row r="644" spans="5:6">
      <c r="E644" s="304"/>
      <c r="F644" s="304"/>
    </row>
    <row r="645" spans="5:6">
      <c r="E645" s="304"/>
      <c r="F645" s="304"/>
    </row>
    <row r="646" spans="5:6">
      <c r="E646" s="304"/>
      <c r="F646" s="304"/>
    </row>
    <row r="647" spans="5:6">
      <c r="E647" s="304"/>
      <c r="F647" s="304"/>
    </row>
    <row r="648" spans="5:6">
      <c r="E648" s="304"/>
      <c r="F648" s="304"/>
    </row>
    <row r="649" spans="5:6">
      <c r="E649" s="304"/>
      <c r="F649" s="304"/>
    </row>
    <row r="650" spans="5:6">
      <c r="E650" s="304"/>
      <c r="F650" s="304"/>
    </row>
    <row r="651" spans="5:6">
      <c r="E651" s="304"/>
      <c r="F651" s="304"/>
    </row>
    <row r="652" spans="5:6">
      <c r="E652" s="304"/>
      <c r="F652" s="304"/>
    </row>
    <row r="653" spans="5:6">
      <c r="E653" s="304"/>
      <c r="F653" s="304"/>
    </row>
    <row r="654" spans="5:6">
      <c r="E654" s="304"/>
      <c r="F654" s="304"/>
    </row>
    <row r="655" spans="5:6">
      <c r="E655" s="304"/>
      <c r="F655" s="304"/>
    </row>
    <row r="656" spans="5:6">
      <c r="E656" s="304"/>
      <c r="F656" s="304"/>
    </row>
    <row r="657" spans="5:6">
      <c r="E657" s="304"/>
      <c r="F657" s="304"/>
    </row>
    <row r="658" spans="5:6">
      <c r="E658" s="304"/>
      <c r="F658" s="304"/>
    </row>
    <row r="659" spans="5:6">
      <c r="E659" s="304"/>
      <c r="F659" s="304"/>
    </row>
    <row r="660" spans="5:6">
      <c r="E660" s="304"/>
      <c r="F660" s="304"/>
    </row>
    <row r="661" spans="5:6">
      <c r="E661" s="304"/>
      <c r="F661" s="304"/>
    </row>
    <row r="662" spans="5:6">
      <c r="E662" s="304"/>
      <c r="F662" s="304"/>
    </row>
    <row r="663" spans="5:6">
      <c r="E663" s="304"/>
      <c r="F663" s="304"/>
    </row>
    <row r="664" spans="5:6">
      <c r="E664" s="304"/>
      <c r="F664" s="304"/>
    </row>
    <row r="665" spans="5:6">
      <c r="E665" s="304"/>
      <c r="F665" s="304"/>
    </row>
    <row r="666" spans="5:6">
      <c r="E666" s="304"/>
      <c r="F666" s="304"/>
    </row>
    <row r="667" spans="5:6">
      <c r="E667" s="304"/>
      <c r="F667" s="304"/>
    </row>
    <row r="668" spans="5:6">
      <c r="E668" s="304"/>
      <c r="F668" s="304"/>
    </row>
    <row r="669" spans="5:6">
      <c r="E669" s="304"/>
      <c r="F669" s="304"/>
    </row>
    <row r="670" spans="5:6">
      <c r="E670" s="304"/>
      <c r="F670" s="304"/>
    </row>
    <row r="671" spans="5:6">
      <c r="E671" s="304"/>
      <c r="F671" s="304"/>
    </row>
    <row r="672" spans="5:6">
      <c r="E672" s="304"/>
      <c r="F672" s="304"/>
    </row>
    <row r="673" spans="5:6">
      <c r="E673" s="304"/>
      <c r="F673" s="304"/>
    </row>
    <row r="674" spans="5:6">
      <c r="E674" s="304"/>
      <c r="F674" s="304"/>
    </row>
    <row r="675" spans="5:6">
      <c r="E675" s="304"/>
      <c r="F675" s="304"/>
    </row>
    <row r="676" spans="5:6">
      <c r="E676" s="304"/>
      <c r="F676" s="304"/>
    </row>
    <row r="677" spans="5:6">
      <c r="E677" s="304"/>
      <c r="F677" s="304"/>
    </row>
    <row r="678" spans="5:6">
      <c r="E678" s="304"/>
      <c r="F678" s="304"/>
    </row>
    <row r="679" spans="5:6">
      <c r="E679" s="304"/>
      <c r="F679" s="304"/>
    </row>
    <row r="680" spans="5:6">
      <c r="E680" s="304"/>
      <c r="F680" s="304"/>
    </row>
    <row r="681" spans="5:6">
      <c r="E681" s="304"/>
      <c r="F681" s="304"/>
    </row>
    <row r="682" spans="5:6">
      <c r="E682" s="304"/>
      <c r="F682" s="304"/>
    </row>
    <row r="683" spans="5:6">
      <c r="E683" s="304"/>
      <c r="F683" s="304"/>
    </row>
    <row r="684" spans="5:6">
      <c r="E684" s="304"/>
      <c r="F684" s="304"/>
    </row>
    <row r="685" spans="5:6">
      <c r="E685" s="304"/>
      <c r="F685" s="304"/>
    </row>
    <row r="686" spans="5:6">
      <c r="E686" s="304"/>
      <c r="F686" s="304"/>
    </row>
    <row r="687" spans="5:6">
      <c r="E687" s="304"/>
      <c r="F687" s="304"/>
    </row>
    <row r="688" spans="5:6">
      <c r="E688" s="304"/>
      <c r="F688" s="304"/>
    </row>
    <row r="689" spans="5:6">
      <c r="E689" s="304"/>
      <c r="F689" s="304"/>
    </row>
    <row r="690" spans="5:6">
      <c r="E690" s="304"/>
      <c r="F690" s="304"/>
    </row>
    <row r="691" spans="5:6">
      <c r="E691" s="304"/>
      <c r="F691" s="304"/>
    </row>
    <row r="692" spans="5:6">
      <c r="E692" s="304"/>
      <c r="F692" s="304"/>
    </row>
    <row r="693" spans="5:6">
      <c r="E693" s="304"/>
      <c r="F693" s="304"/>
    </row>
    <row r="694" spans="5:6">
      <c r="E694" s="304"/>
      <c r="F694" s="304"/>
    </row>
    <row r="695" spans="5:6">
      <c r="E695" s="304"/>
      <c r="F695" s="304"/>
    </row>
    <row r="696" spans="5:6">
      <c r="E696" s="304"/>
      <c r="F696" s="304"/>
    </row>
    <row r="697" spans="5:6">
      <c r="E697" s="304"/>
      <c r="F697" s="304"/>
    </row>
    <row r="698" spans="5:6">
      <c r="E698" s="304"/>
      <c r="F698" s="304"/>
    </row>
    <row r="699" spans="5:6">
      <c r="E699" s="304"/>
      <c r="F699" s="304"/>
    </row>
    <row r="700" spans="5:6">
      <c r="E700" s="304"/>
      <c r="F700" s="304"/>
    </row>
    <row r="701" spans="5:6">
      <c r="E701" s="304"/>
      <c r="F701" s="304"/>
    </row>
    <row r="702" spans="5:6">
      <c r="E702" s="304"/>
      <c r="F702" s="304"/>
    </row>
    <row r="703" spans="5:6">
      <c r="E703" s="304"/>
      <c r="F703" s="304"/>
    </row>
    <row r="704" spans="5:6">
      <c r="E704" s="304"/>
      <c r="F704" s="304"/>
    </row>
    <row r="705" spans="5:6">
      <c r="E705" s="304"/>
      <c r="F705" s="304"/>
    </row>
    <row r="706" spans="5:6">
      <c r="E706" s="304"/>
      <c r="F706" s="304"/>
    </row>
    <row r="707" spans="5:6">
      <c r="E707" s="304"/>
      <c r="F707" s="304"/>
    </row>
    <row r="708" spans="5:6">
      <c r="E708" s="304"/>
      <c r="F708" s="304"/>
    </row>
    <row r="709" spans="5:6">
      <c r="E709" s="304"/>
      <c r="F709" s="304"/>
    </row>
    <row r="710" spans="5:6">
      <c r="E710" s="304"/>
      <c r="F710" s="304"/>
    </row>
    <row r="711" spans="5:6">
      <c r="E711" s="304"/>
      <c r="F711" s="304"/>
    </row>
    <row r="712" spans="5:6">
      <c r="E712" s="304"/>
      <c r="F712" s="304"/>
    </row>
    <row r="713" spans="5:6">
      <c r="E713" s="304"/>
      <c r="F713" s="304"/>
    </row>
    <row r="714" spans="5:6">
      <c r="E714" s="304"/>
      <c r="F714" s="304"/>
    </row>
    <row r="715" spans="5:6">
      <c r="E715" s="304"/>
      <c r="F715" s="304"/>
    </row>
    <row r="716" spans="5:6">
      <c r="E716" s="304"/>
      <c r="F716" s="304"/>
    </row>
    <row r="717" spans="5:6">
      <c r="E717" s="304"/>
      <c r="F717" s="304"/>
    </row>
    <row r="718" spans="5:6">
      <c r="E718" s="304"/>
      <c r="F718" s="304"/>
    </row>
    <row r="719" spans="5:6">
      <c r="E719" s="304"/>
      <c r="F719" s="304"/>
    </row>
    <row r="720" spans="5:6">
      <c r="E720" s="304"/>
      <c r="F720" s="304"/>
    </row>
    <row r="721" spans="5:6">
      <c r="E721" s="304"/>
      <c r="F721" s="304"/>
    </row>
    <row r="722" spans="5:6">
      <c r="E722" s="304"/>
      <c r="F722" s="304"/>
    </row>
    <row r="723" spans="5:6">
      <c r="E723" s="304"/>
      <c r="F723" s="304"/>
    </row>
    <row r="724" spans="5:6">
      <c r="E724" s="304"/>
      <c r="F724" s="304"/>
    </row>
    <row r="725" spans="5:6">
      <c r="E725" s="304"/>
      <c r="F725" s="304"/>
    </row>
    <row r="726" spans="5:6">
      <c r="E726" s="304"/>
      <c r="F726" s="304"/>
    </row>
    <row r="727" spans="5:6">
      <c r="E727" s="304"/>
      <c r="F727" s="304"/>
    </row>
    <row r="728" spans="5:6">
      <c r="E728" s="304"/>
      <c r="F728" s="304"/>
    </row>
    <row r="729" spans="5:6">
      <c r="E729" s="304"/>
      <c r="F729" s="304"/>
    </row>
    <row r="730" spans="5:6">
      <c r="E730" s="304"/>
      <c r="F730" s="304"/>
    </row>
    <row r="731" spans="5:6">
      <c r="E731" s="304"/>
      <c r="F731" s="304"/>
    </row>
    <row r="732" spans="5:6">
      <c r="E732" s="304"/>
      <c r="F732" s="304"/>
    </row>
    <row r="733" spans="5:6">
      <c r="E733" s="304"/>
      <c r="F733" s="304"/>
    </row>
    <row r="734" spans="5:6">
      <c r="E734" s="304"/>
      <c r="F734" s="304"/>
    </row>
    <row r="735" spans="5:6">
      <c r="E735" s="304"/>
      <c r="F735" s="304"/>
    </row>
    <row r="736" spans="5:6">
      <c r="E736" s="304"/>
      <c r="F736" s="304"/>
    </row>
    <row r="737" spans="5:6">
      <c r="E737" s="304"/>
      <c r="F737" s="304"/>
    </row>
    <row r="738" spans="5:6">
      <c r="E738" s="304"/>
      <c r="F738" s="304"/>
    </row>
    <row r="739" spans="5:6">
      <c r="E739" s="304"/>
      <c r="F739" s="304"/>
    </row>
    <row r="740" spans="5:6">
      <c r="E740" s="304"/>
      <c r="F740" s="304"/>
    </row>
    <row r="741" spans="5:6">
      <c r="E741" s="304"/>
      <c r="F741" s="304"/>
    </row>
    <row r="742" spans="5:6">
      <c r="E742" s="304"/>
      <c r="F742" s="304"/>
    </row>
    <row r="743" spans="5:6">
      <c r="E743" s="304"/>
      <c r="F743" s="304"/>
    </row>
    <row r="744" spans="5:6">
      <c r="E744" s="304"/>
      <c r="F744" s="304"/>
    </row>
    <row r="745" spans="5:6">
      <c r="E745" s="304"/>
      <c r="F745" s="304"/>
    </row>
    <row r="746" spans="5:6">
      <c r="E746" s="304"/>
      <c r="F746" s="304"/>
    </row>
    <row r="747" spans="5:6">
      <c r="E747" s="304"/>
      <c r="F747" s="304"/>
    </row>
    <row r="748" spans="5:6">
      <c r="E748" s="304"/>
      <c r="F748" s="304"/>
    </row>
    <row r="749" spans="5:6">
      <c r="E749" s="304"/>
      <c r="F749" s="304"/>
    </row>
    <row r="750" spans="5:6">
      <c r="E750" s="304"/>
      <c r="F750" s="304"/>
    </row>
    <row r="751" spans="5:6">
      <c r="E751" s="304"/>
      <c r="F751" s="304"/>
    </row>
    <row r="752" spans="5:6">
      <c r="E752" s="304"/>
      <c r="F752" s="304"/>
    </row>
    <row r="753" spans="5:6">
      <c r="E753" s="304"/>
      <c r="F753" s="304"/>
    </row>
    <row r="754" spans="5:6">
      <c r="E754" s="304"/>
      <c r="F754" s="304"/>
    </row>
    <row r="755" spans="5:6">
      <c r="E755" s="304"/>
      <c r="F755" s="304"/>
    </row>
    <row r="756" spans="5:6">
      <c r="E756" s="304"/>
      <c r="F756" s="304"/>
    </row>
    <row r="757" spans="5:6">
      <c r="E757" s="304"/>
      <c r="F757" s="304"/>
    </row>
    <row r="758" spans="5:6">
      <c r="E758" s="304"/>
      <c r="F758" s="304"/>
    </row>
    <row r="759" spans="5:6">
      <c r="E759" s="304"/>
      <c r="F759" s="304"/>
    </row>
    <row r="760" spans="5:6">
      <c r="E760" s="304"/>
      <c r="F760" s="304"/>
    </row>
    <row r="761" spans="5:6">
      <c r="E761" s="304"/>
      <c r="F761" s="304"/>
    </row>
    <row r="762" spans="5:6">
      <c r="E762" s="304"/>
      <c r="F762" s="304"/>
    </row>
    <row r="763" spans="5:6">
      <c r="E763" s="304"/>
      <c r="F763" s="304"/>
    </row>
    <row r="764" spans="5:6">
      <c r="E764" s="304"/>
      <c r="F764" s="304"/>
    </row>
    <row r="765" spans="5:6">
      <c r="E765" s="304"/>
      <c r="F765" s="304"/>
    </row>
    <row r="766" spans="5:6">
      <c r="E766" s="304"/>
      <c r="F766" s="304"/>
    </row>
    <row r="767" spans="5:6">
      <c r="E767" s="304"/>
      <c r="F767" s="304"/>
    </row>
    <row r="768" spans="5:6">
      <c r="E768" s="304"/>
      <c r="F768" s="304"/>
    </row>
    <row r="769" spans="5:6">
      <c r="E769" s="304"/>
      <c r="F769" s="304"/>
    </row>
    <row r="770" spans="5:6">
      <c r="E770" s="304"/>
      <c r="F770" s="304"/>
    </row>
    <row r="771" spans="5:6">
      <c r="E771" s="304"/>
      <c r="F771" s="304"/>
    </row>
    <row r="772" spans="5:6">
      <c r="E772" s="304"/>
      <c r="F772" s="304"/>
    </row>
    <row r="773" spans="5:6">
      <c r="E773" s="304"/>
      <c r="F773" s="304"/>
    </row>
    <row r="774" spans="5:6">
      <c r="E774" s="304"/>
      <c r="F774" s="304"/>
    </row>
    <row r="775" spans="5:6">
      <c r="E775" s="304"/>
      <c r="F775" s="304"/>
    </row>
    <row r="776" spans="5:6">
      <c r="E776" s="304"/>
      <c r="F776" s="304"/>
    </row>
    <row r="777" spans="5:6">
      <c r="E777" s="304"/>
      <c r="F777" s="304"/>
    </row>
    <row r="778" spans="5:6">
      <c r="E778" s="304"/>
      <c r="F778" s="304"/>
    </row>
    <row r="779" spans="5:6">
      <c r="E779" s="304"/>
      <c r="F779" s="304"/>
    </row>
    <row r="780" spans="5:6">
      <c r="E780" s="304"/>
      <c r="F780" s="304"/>
    </row>
    <row r="781" spans="5:6">
      <c r="E781" s="304"/>
      <c r="F781" s="304"/>
    </row>
    <row r="782" spans="5:6">
      <c r="E782" s="304"/>
      <c r="F782" s="304"/>
    </row>
    <row r="783" spans="5:6">
      <c r="E783" s="304"/>
      <c r="F783" s="304"/>
    </row>
    <row r="784" spans="5:6">
      <c r="E784" s="304"/>
      <c r="F784" s="304"/>
    </row>
    <row r="785" spans="5:6">
      <c r="E785" s="304"/>
      <c r="F785" s="304"/>
    </row>
    <row r="786" spans="5:6">
      <c r="E786" s="304"/>
      <c r="F786" s="304"/>
    </row>
    <row r="787" spans="5:6">
      <c r="E787" s="304"/>
      <c r="F787" s="304"/>
    </row>
    <row r="788" spans="5:6">
      <c r="E788" s="304"/>
      <c r="F788" s="304"/>
    </row>
    <row r="789" spans="5:6">
      <c r="E789" s="304"/>
      <c r="F789" s="304"/>
    </row>
    <row r="790" spans="5:6">
      <c r="E790" s="304"/>
      <c r="F790" s="304"/>
    </row>
    <row r="791" spans="5:6">
      <c r="E791" s="304"/>
      <c r="F791" s="304"/>
    </row>
    <row r="792" spans="5:6">
      <c r="E792" s="304"/>
      <c r="F792" s="304"/>
    </row>
    <row r="793" spans="5:6">
      <c r="E793" s="304"/>
      <c r="F793" s="304"/>
    </row>
    <row r="794" spans="5:6">
      <c r="E794" s="304"/>
      <c r="F794" s="304"/>
    </row>
    <row r="795" spans="5:6">
      <c r="E795" s="304"/>
      <c r="F795" s="304"/>
    </row>
    <row r="796" spans="5:6">
      <c r="E796" s="304"/>
      <c r="F796" s="304"/>
    </row>
    <row r="797" spans="5:6">
      <c r="E797" s="304"/>
      <c r="F797" s="304"/>
    </row>
    <row r="798" spans="5:6">
      <c r="E798" s="304"/>
      <c r="F798" s="304"/>
    </row>
    <row r="799" spans="5:6">
      <c r="E799" s="304"/>
      <c r="F799" s="304"/>
    </row>
    <row r="800" spans="5:6">
      <c r="E800" s="304"/>
      <c r="F800" s="304"/>
    </row>
    <row r="801" spans="5:6">
      <c r="E801" s="304"/>
      <c r="F801" s="304"/>
    </row>
    <row r="802" spans="5:6">
      <c r="E802" s="304"/>
      <c r="F802" s="304"/>
    </row>
    <row r="803" spans="5:6">
      <c r="E803" s="304"/>
      <c r="F803" s="304"/>
    </row>
    <row r="804" spans="5:6">
      <c r="E804" s="304"/>
      <c r="F804" s="304"/>
    </row>
    <row r="805" spans="5:6">
      <c r="E805" s="304"/>
      <c r="F805" s="304"/>
    </row>
    <row r="806" spans="5:6">
      <c r="E806" s="304"/>
      <c r="F806" s="304"/>
    </row>
    <row r="807" spans="5:6">
      <c r="E807" s="304"/>
      <c r="F807" s="304"/>
    </row>
    <row r="808" spans="5:6">
      <c r="E808" s="304"/>
      <c r="F808" s="304"/>
    </row>
    <row r="809" spans="5:6">
      <c r="E809" s="304"/>
      <c r="F809" s="304"/>
    </row>
    <row r="810" spans="5:6">
      <c r="E810" s="304"/>
      <c r="F810" s="304"/>
    </row>
    <row r="811" spans="5:6">
      <c r="E811" s="304"/>
      <c r="F811" s="304"/>
    </row>
    <row r="812" spans="5:6">
      <c r="E812" s="304"/>
      <c r="F812" s="304"/>
    </row>
    <row r="813" spans="5:6">
      <c r="E813" s="304"/>
      <c r="F813" s="304"/>
    </row>
    <row r="814" spans="5:6">
      <c r="E814" s="304"/>
      <c r="F814" s="304"/>
    </row>
    <row r="815" spans="5:6">
      <c r="E815" s="304"/>
      <c r="F815" s="304"/>
    </row>
    <row r="816" spans="5:6">
      <c r="E816" s="304"/>
      <c r="F816" s="304"/>
    </row>
    <row r="817" spans="5:6">
      <c r="E817" s="304"/>
      <c r="F817" s="304"/>
    </row>
    <row r="818" spans="5:6">
      <c r="E818" s="304"/>
      <c r="F818" s="304"/>
    </row>
    <row r="819" spans="5:6">
      <c r="E819" s="304"/>
      <c r="F819" s="304"/>
    </row>
    <row r="820" spans="5:6">
      <c r="E820" s="304"/>
      <c r="F820" s="304"/>
    </row>
    <row r="821" spans="5:6">
      <c r="E821" s="304"/>
      <c r="F821" s="304"/>
    </row>
    <row r="822" spans="5:6">
      <c r="E822" s="304"/>
      <c r="F822" s="304"/>
    </row>
    <row r="823" spans="5:6">
      <c r="E823" s="304"/>
      <c r="F823" s="304"/>
    </row>
    <row r="824" spans="5:6">
      <c r="E824" s="304"/>
      <c r="F824" s="304"/>
    </row>
    <row r="825" spans="5:6">
      <c r="E825" s="304"/>
      <c r="F825" s="304"/>
    </row>
    <row r="826" spans="5:6">
      <c r="E826" s="304"/>
      <c r="F826" s="304"/>
    </row>
    <row r="827" spans="5:6">
      <c r="E827" s="304"/>
      <c r="F827" s="304"/>
    </row>
    <row r="828" spans="5:6">
      <c r="E828" s="304"/>
      <c r="F828" s="304"/>
    </row>
    <row r="829" spans="5:6">
      <c r="E829" s="304"/>
      <c r="F829" s="304"/>
    </row>
    <row r="830" spans="5:6">
      <c r="E830" s="304"/>
      <c r="F830" s="304"/>
    </row>
    <row r="831" spans="5:6">
      <c r="E831" s="304"/>
      <c r="F831" s="304"/>
    </row>
    <row r="832" spans="5:6">
      <c r="E832" s="304"/>
      <c r="F832" s="304"/>
    </row>
    <row r="833" spans="5:6">
      <c r="E833" s="304"/>
      <c r="F833" s="304"/>
    </row>
    <row r="834" spans="5:6">
      <c r="E834" s="304"/>
      <c r="F834" s="304"/>
    </row>
    <row r="835" spans="5:6">
      <c r="E835" s="304"/>
      <c r="F835" s="304"/>
    </row>
    <row r="836" spans="5:6">
      <c r="E836" s="304"/>
      <c r="F836" s="304"/>
    </row>
    <row r="837" spans="5:6">
      <c r="E837" s="304"/>
      <c r="F837" s="304"/>
    </row>
    <row r="838" spans="5:6">
      <c r="E838" s="304"/>
      <c r="F838" s="304"/>
    </row>
    <row r="839" spans="5:6">
      <c r="E839" s="304"/>
      <c r="F839" s="304"/>
    </row>
    <row r="840" spans="5:6">
      <c r="E840" s="304"/>
      <c r="F840" s="304"/>
    </row>
    <row r="841" spans="5:6">
      <c r="E841" s="304"/>
      <c r="F841" s="304"/>
    </row>
    <row r="842" spans="5:6">
      <c r="E842" s="304"/>
      <c r="F842" s="304"/>
    </row>
    <row r="843" spans="5:6">
      <c r="E843" s="304"/>
      <c r="F843" s="304"/>
    </row>
    <row r="844" spans="5:6">
      <c r="E844" s="304"/>
      <c r="F844" s="304"/>
    </row>
    <row r="845" spans="5:6">
      <c r="E845" s="304"/>
      <c r="F845" s="304"/>
    </row>
    <row r="846" spans="5:6">
      <c r="E846" s="304"/>
      <c r="F846" s="304"/>
    </row>
    <row r="847" spans="5:6">
      <c r="E847" s="304"/>
      <c r="F847" s="304"/>
    </row>
    <row r="848" spans="5:6">
      <c r="E848" s="304"/>
      <c r="F848" s="304"/>
    </row>
    <row r="849" spans="5:6">
      <c r="E849" s="304"/>
      <c r="F849" s="304"/>
    </row>
    <row r="850" spans="5:6">
      <c r="E850" s="304"/>
      <c r="F850" s="304"/>
    </row>
    <row r="851" spans="5:6">
      <c r="E851" s="304"/>
      <c r="F851" s="304"/>
    </row>
    <row r="852" spans="5:6">
      <c r="E852" s="304"/>
      <c r="F852" s="304"/>
    </row>
    <row r="853" spans="5:6">
      <c r="E853" s="304"/>
      <c r="F853" s="304"/>
    </row>
    <row r="854" spans="5:6">
      <c r="E854" s="304"/>
      <c r="F854" s="304"/>
    </row>
    <row r="855" spans="5:6">
      <c r="E855" s="304"/>
      <c r="F855" s="304"/>
    </row>
    <row r="856" spans="5:6">
      <c r="E856" s="304"/>
      <c r="F856" s="304"/>
    </row>
    <row r="857" spans="5:6">
      <c r="E857" s="304"/>
      <c r="F857" s="304"/>
    </row>
    <row r="858" spans="5:6">
      <c r="E858" s="304"/>
      <c r="F858" s="304"/>
    </row>
    <row r="859" spans="5:6">
      <c r="E859" s="304"/>
      <c r="F859" s="304"/>
    </row>
    <row r="860" spans="5:6">
      <c r="E860" s="304"/>
      <c r="F860" s="304"/>
    </row>
    <row r="861" spans="5:6">
      <c r="E861" s="304"/>
      <c r="F861" s="304"/>
    </row>
    <row r="862" spans="5:6">
      <c r="E862" s="304"/>
      <c r="F862" s="304"/>
    </row>
    <row r="863" spans="5:6">
      <c r="E863" s="304"/>
      <c r="F863" s="304"/>
    </row>
    <row r="864" spans="5:6">
      <c r="E864" s="304"/>
      <c r="F864" s="304"/>
    </row>
    <row r="865" spans="5:6">
      <c r="E865" s="304"/>
      <c r="F865" s="304"/>
    </row>
    <row r="866" spans="5:6">
      <c r="E866" s="304"/>
      <c r="F866" s="304"/>
    </row>
    <row r="867" spans="5:6">
      <c r="E867" s="304"/>
      <c r="F867" s="304"/>
    </row>
    <row r="868" spans="5:6">
      <c r="E868" s="304"/>
      <c r="F868" s="304"/>
    </row>
    <row r="869" spans="5:6">
      <c r="E869" s="304"/>
      <c r="F869" s="304"/>
    </row>
    <row r="870" spans="5:6">
      <c r="E870" s="304"/>
      <c r="F870" s="304"/>
    </row>
    <row r="871" spans="5:6">
      <c r="E871" s="304"/>
      <c r="F871" s="304"/>
    </row>
    <row r="872" spans="5:6">
      <c r="E872" s="304"/>
      <c r="F872" s="304"/>
    </row>
    <row r="873" spans="5:6">
      <c r="E873" s="304"/>
      <c r="F873" s="304"/>
    </row>
    <row r="874" spans="5:6">
      <c r="E874" s="304"/>
      <c r="F874" s="304"/>
    </row>
    <row r="875" spans="5:6">
      <c r="E875" s="304"/>
      <c r="F875" s="304"/>
    </row>
    <row r="876" spans="5:6">
      <c r="E876" s="304"/>
      <c r="F876" s="304"/>
    </row>
    <row r="877" spans="5:6">
      <c r="E877" s="304"/>
      <c r="F877" s="304"/>
    </row>
    <row r="878" spans="5:6">
      <c r="E878" s="304"/>
      <c r="F878" s="304"/>
    </row>
    <row r="879" spans="5:6">
      <c r="E879" s="304"/>
      <c r="F879" s="304"/>
    </row>
    <row r="880" spans="5:6">
      <c r="E880" s="304"/>
      <c r="F880" s="304"/>
    </row>
    <row r="881" spans="5:6">
      <c r="E881" s="304"/>
      <c r="F881" s="304"/>
    </row>
    <row r="882" spans="5:6">
      <c r="E882" s="304"/>
      <c r="F882" s="304"/>
    </row>
    <row r="883" spans="5:6">
      <c r="E883" s="304"/>
      <c r="F883" s="304"/>
    </row>
    <row r="884" spans="5:6">
      <c r="E884" s="304"/>
      <c r="F884" s="304"/>
    </row>
    <row r="885" spans="5:6">
      <c r="E885" s="304"/>
      <c r="F885" s="304"/>
    </row>
    <row r="886" spans="5:6">
      <c r="E886" s="304"/>
      <c r="F886" s="304"/>
    </row>
    <row r="887" spans="5:6">
      <c r="E887" s="304"/>
      <c r="F887" s="304"/>
    </row>
    <row r="888" spans="5:6">
      <c r="E888" s="304"/>
      <c r="F888" s="304"/>
    </row>
    <row r="889" spans="5:6">
      <c r="E889" s="304"/>
      <c r="F889" s="304"/>
    </row>
    <row r="890" spans="5:6">
      <c r="E890" s="304"/>
      <c r="F890" s="304"/>
    </row>
    <row r="891" spans="5:6">
      <c r="E891" s="304"/>
      <c r="F891" s="304"/>
    </row>
    <row r="892" spans="5:6">
      <c r="E892" s="304"/>
      <c r="F892" s="304"/>
    </row>
    <row r="893" spans="5:6">
      <c r="E893" s="304"/>
      <c r="F893" s="304"/>
    </row>
    <row r="894" spans="5:6">
      <c r="E894" s="304"/>
      <c r="F894" s="304"/>
    </row>
    <row r="895" spans="5:6">
      <c r="E895" s="304"/>
      <c r="F895" s="304"/>
    </row>
    <row r="896" spans="5:6">
      <c r="E896" s="304"/>
      <c r="F896" s="304"/>
    </row>
    <row r="897" spans="5:6">
      <c r="E897" s="304"/>
      <c r="F897" s="304"/>
    </row>
    <row r="898" spans="5:6">
      <c r="E898" s="304"/>
      <c r="F898" s="304"/>
    </row>
    <row r="899" spans="5:6">
      <c r="E899" s="304"/>
      <c r="F899" s="304"/>
    </row>
    <row r="900" spans="5:6">
      <c r="E900" s="304"/>
      <c r="F900" s="304"/>
    </row>
    <row r="901" spans="5:6">
      <c r="E901" s="304"/>
      <c r="F901" s="304"/>
    </row>
    <row r="902" spans="5:6">
      <c r="E902" s="304"/>
      <c r="F902" s="304"/>
    </row>
    <row r="903" spans="5:6">
      <c r="E903" s="304"/>
      <c r="F903" s="304"/>
    </row>
    <row r="904" spans="5:6">
      <c r="E904" s="304"/>
      <c r="F904" s="304"/>
    </row>
    <row r="905" spans="5:6">
      <c r="E905" s="304"/>
      <c r="F905" s="304"/>
    </row>
    <row r="906" spans="5:6">
      <c r="E906" s="304"/>
      <c r="F906" s="304"/>
    </row>
    <row r="907" spans="5:6">
      <c r="E907" s="304"/>
      <c r="F907" s="304"/>
    </row>
    <row r="908" spans="5:6">
      <c r="E908" s="304"/>
      <c r="F908" s="304"/>
    </row>
    <row r="909" spans="5:6">
      <c r="E909" s="304"/>
      <c r="F909" s="304"/>
    </row>
    <row r="910" spans="5:6">
      <c r="E910" s="304"/>
      <c r="F910" s="304"/>
    </row>
    <row r="911" spans="5:6">
      <c r="E911" s="304"/>
      <c r="F911" s="304"/>
    </row>
    <row r="912" spans="5:6">
      <c r="E912" s="304"/>
      <c r="F912" s="304"/>
    </row>
    <row r="913" spans="5:6">
      <c r="E913" s="304"/>
      <c r="F913" s="304"/>
    </row>
    <row r="914" spans="5:6">
      <c r="E914" s="304"/>
      <c r="F914" s="304"/>
    </row>
    <row r="915" spans="5:6">
      <c r="E915" s="304"/>
      <c r="F915" s="304"/>
    </row>
    <row r="916" spans="5:6">
      <c r="E916" s="304"/>
      <c r="F916" s="304"/>
    </row>
    <row r="917" spans="5:6">
      <c r="E917" s="304"/>
      <c r="F917" s="304"/>
    </row>
    <row r="918" spans="5:6">
      <c r="E918" s="304"/>
      <c r="F918" s="304"/>
    </row>
    <row r="919" spans="5:6">
      <c r="E919" s="304"/>
      <c r="F919" s="304"/>
    </row>
    <row r="920" spans="5:6">
      <c r="E920" s="304"/>
      <c r="F920" s="304"/>
    </row>
    <row r="921" spans="5:6">
      <c r="E921" s="304"/>
      <c r="F921" s="304"/>
    </row>
    <row r="922" spans="5:6">
      <c r="E922" s="304"/>
      <c r="F922" s="304"/>
    </row>
    <row r="923" spans="5:6">
      <c r="E923" s="304"/>
      <c r="F923" s="304"/>
    </row>
    <row r="924" spans="5:6">
      <c r="E924" s="304"/>
      <c r="F924" s="304"/>
    </row>
    <row r="925" spans="5:6">
      <c r="E925" s="304"/>
      <c r="F925" s="304"/>
    </row>
    <row r="926" spans="5:6">
      <c r="E926" s="304"/>
      <c r="F926" s="304"/>
    </row>
    <row r="927" spans="5:6">
      <c r="E927" s="304"/>
      <c r="F927" s="304"/>
    </row>
    <row r="928" spans="5:6">
      <c r="E928" s="304"/>
      <c r="F928" s="304"/>
    </row>
    <row r="929" spans="5:6">
      <c r="E929" s="304"/>
      <c r="F929" s="304"/>
    </row>
    <row r="930" spans="5:6">
      <c r="E930" s="304"/>
      <c r="F930" s="304"/>
    </row>
    <row r="931" spans="5:6">
      <c r="E931" s="304"/>
      <c r="F931" s="304"/>
    </row>
    <row r="932" spans="5:6">
      <c r="E932" s="304"/>
      <c r="F932" s="304"/>
    </row>
    <row r="933" spans="5:6">
      <c r="E933" s="304"/>
      <c r="F933" s="304"/>
    </row>
    <row r="934" spans="5:6">
      <c r="E934" s="304"/>
      <c r="F934" s="304"/>
    </row>
    <row r="935" spans="5:6">
      <c r="E935" s="304"/>
      <c r="F935" s="304"/>
    </row>
    <row r="936" spans="5:6">
      <c r="E936" s="304"/>
      <c r="F936" s="304"/>
    </row>
    <row r="937" spans="5:6">
      <c r="E937" s="304"/>
      <c r="F937" s="304"/>
    </row>
    <row r="938" spans="5:6">
      <c r="E938" s="304"/>
      <c r="F938" s="304"/>
    </row>
    <row r="939" spans="5:6">
      <c r="E939" s="304"/>
      <c r="F939" s="304"/>
    </row>
    <row r="940" spans="5:6">
      <c r="E940" s="304"/>
      <c r="F940" s="304"/>
    </row>
    <row r="941" spans="5:6">
      <c r="E941" s="304"/>
      <c r="F941" s="304"/>
    </row>
    <row r="942" spans="5:6">
      <c r="E942" s="304"/>
      <c r="F942" s="304"/>
    </row>
    <row r="943" spans="5:6">
      <c r="E943" s="304"/>
      <c r="F943" s="304"/>
    </row>
    <row r="944" spans="5:6">
      <c r="E944" s="304"/>
      <c r="F944" s="304"/>
    </row>
    <row r="945" spans="5:6">
      <c r="E945" s="304"/>
      <c r="F945" s="304"/>
    </row>
    <row r="946" spans="5:6">
      <c r="E946" s="304"/>
      <c r="F946" s="304"/>
    </row>
    <row r="947" spans="5:6">
      <c r="E947" s="304"/>
      <c r="F947" s="304"/>
    </row>
    <row r="948" spans="5:6">
      <c r="E948" s="304"/>
      <c r="F948" s="304"/>
    </row>
    <row r="949" spans="5:6">
      <c r="E949" s="304"/>
      <c r="F949" s="304"/>
    </row>
    <row r="950" spans="5:6">
      <c r="E950" s="304"/>
      <c r="F950" s="304"/>
    </row>
    <row r="951" spans="5:6">
      <c r="E951" s="304"/>
      <c r="F951" s="304"/>
    </row>
    <row r="952" spans="5:6">
      <c r="E952" s="304"/>
      <c r="F952" s="304"/>
    </row>
    <row r="953" spans="5:6">
      <c r="E953" s="304"/>
      <c r="F953" s="304"/>
    </row>
    <row r="954" spans="5:6">
      <c r="E954" s="304"/>
      <c r="F954" s="304"/>
    </row>
    <row r="955" spans="5:6">
      <c r="E955" s="304"/>
      <c r="F955" s="304"/>
    </row>
    <row r="956" spans="5:6">
      <c r="E956" s="304"/>
      <c r="F956" s="304"/>
    </row>
    <row r="957" spans="5:6">
      <c r="E957" s="304"/>
      <c r="F957" s="304"/>
    </row>
    <row r="958" spans="5:6">
      <c r="E958" s="304"/>
      <c r="F958" s="304"/>
    </row>
    <row r="959" spans="5:6">
      <c r="E959" s="304"/>
      <c r="F959" s="304"/>
    </row>
    <row r="960" spans="5:6">
      <c r="E960" s="304"/>
      <c r="F960" s="304"/>
    </row>
    <row r="961" spans="5:6">
      <c r="E961" s="304"/>
      <c r="F961" s="304"/>
    </row>
    <row r="962" spans="5:6">
      <c r="E962" s="304"/>
      <c r="F962" s="304"/>
    </row>
    <row r="963" spans="5:6">
      <c r="E963" s="304"/>
      <c r="F963" s="304"/>
    </row>
    <row r="964" spans="5:6">
      <c r="E964" s="304"/>
      <c r="F964" s="304"/>
    </row>
    <row r="965" spans="5:6">
      <c r="E965" s="304"/>
      <c r="F965" s="304"/>
    </row>
    <row r="966" spans="5:6">
      <c r="E966" s="304"/>
      <c r="F966" s="304"/>
    </row>
    <row r="967" spans="5:6">
      <c r="E967" s="304"/>
      <c r="F967" s="304"/>
    </row>
    <row r="968" spans="5:6">
      <c r="E968" s="304"/>
      <c r="F968" s="304"/>
    </row>
    <row r="969" spans="5:6">
      <c r="E969" s="304"/>
      <c r="F969" s="304"/>
    </row>
    <row r="970" spans="5:6">
      <c r="E970" s="304"/>
      <c r="F970" s="304"/>
    </row>
    <row r="971" spans="5:6">
      <c r="E971" s="304"/>
      <c r="F971" s="304"/>
    </row>
    <row r="972" spans="5:6">
      <c r="E972" s="304"/>
      <c r="F972" s="304"/>
    </row>
    <row r="973" spans="5:6">
      <c r="E973" s="304"/>
      <c r="F973" s="304"/>
    </row>
    <row r="974" spans="5:6">
      <c r="E974" s="304"/>
      <c r="F974" s="304"/>
    </row>
    <row r="975" spans="5:6">
      <c r="E975" s="304"/>
      <c r="F975" s="304"/>
    </row>
    <row r="976" spans="5:6">
      <c r="E976" s="304"/>
      <c r="F976" s="304"/>
    </row>
    <row r="977" spans="5:6">
      <c r="E977" s="304"/>
      <c r="F977" s="304"/>
    </row>
    <row r="978" spans="5:6">
      <c r="E978" s="304"/>
      <c r="F978" s="304"/>
    </row>
    <row r="979" spans="5:6">
      <c r="E979" s="304"/>
      <c r="F979" s="304"/>
    </row>
    <row r="980" spans="5:6">
      <c r="E980" s="304"/>
      <c r="F980" s="304"/>
    </row>
    <row r="981" spans="5:6">
      <c r="E981" s="304"/>
      <c r="F981" s="304"/>
    </row>
    <row r="982" spans="5:6">
      <c r="E982" s="304"/>
      <c r="F982" s="304"/>
    </row>
    <row r="983" spans="5:6">
      <c r="E983" s="304"/>
      <c r="F983" s="304"/>
    </row>
    <row r="984" spans="5:6">
      <c r="E984" s="304"/>
      <c r="F984" s="304"/>
    </row>
    <row r="985" spans="5:6">
      <c r="E985" s="304"/>
      <c r="F985" s="304"/>
    </row>
    <row r="986" spans="5:6">
      <c r="E986" s="304"/>
      <c r="F986" s="304"/>
    </row>
    <row r="987" spans="5:6">
      <c r="E987" s="304"/>
      <c r="F987" s="304"/>
    </row>
    <row r="988" spans="5:6">
      <c r="E988" s="304"/>
      <c r="F988" s="304"/>
    </row>
    <row r="989" spans="5:6">
      <c r="E989" s="304"/>
      <c r="F989" s="304"/>
    </row>
    <row r="990" spans="5:6">
      <c r="E990" s="304"/>
      <c r="F990" s="304"/>
    </row>
    <row r="991" spans="5:6">
      <c r="E991" s="304"/>
      <c r="F991" s="304"/>
    </row>
    <row r="992" spans="5:6">
      <c r="E992" s="304"/>
      <c r="F992" s="304"/>
    </row>
    <row r="993" spans="5:6">
      <c r="E993" s="304"/>
      <c r="F993" s="304"/>
    </row>
    <row r="994" spans="5:6">
      <c r="E994" s="304"/>
      <c r="F994" s="304"/>
    </row>
    <row r="995" spans="5:6">
      <c r="E995" s="304"/>
      <c r="F995" s="304"/>
    </row>
    <row r="996" spans="5:6">
      <c r="E996" s="304"/>
      <c r="F996" s="304"/>
    </row>
    <row r="997" spans="5:6">
      <c r="E997" s="304"/>
      <c r="F997" s="304"/>
    </row>
    <row r="998" spans="5:6">
      <c r="E998" s="304"/>
      <c r="F998" s="304"/>
    </row>
    <row r="999" spans="5:6">
      <c r="E999" s="304"/>
      <c r="F999" s="304"/>
    </row>
    <row r="1000" spans="5:6">
      <c r="E1000" s="304"/>
      <c r="F1000" s="304"/>
    </row>
    <row r="1001" spans="5:6">
      <c r="E1001" s="304"/>
      <c r="F1001" s="304"/>
    </row>
    <row r="1002" spans="5:6">
      <c r="E1002" s="304"/>
      <c r="F1002" s="304"/>
    </row>
    <row r="1003" spans="5:6">
      <c r="E1003" s="304"/>
      <c r="F1003" s="304"/>
    </row>
    <row r="1004" spans="5:6">
      <c r="E1004" s="304"/>
      <c r="F1004" s="304"/>
    </row>
    <row r="1005" spans="5:6">
      <c r="E1005" s="304"/>
      <c r="F1005" s="304"/>
    </row>
    <row r="1006" spans="5:6">
      <c r="E1006" s="304"/>
      <c r="F1006" s="304"/>
    </row>
    <row r="1007" spans="5:6">
      <c r="E1007" s="304"/>
      <c r="F1007" s="304"/>
    </row>
    <row r="1008" spans="5:6">
      <c r="E1008" s="304"/>
      <c r="F1008" s="304"/>
    </row>
    <row r="1009" spans="5:6">
      <c r="E1009" s="304"/>
      <c r="F1009" s="304"/>
    </row>
    <row r="1010" spans="5:6">
      <c r="E1010" s="304"/>
      <c r="F1010" s="304"/>
    </row>
    <row r="1011" spans="5:6">
      <c r="E1011" s="304"/>
      <c r="F1011" s="304"/>
    </row>
    <row r="1012" spans="5:6">
      <c r="E1012" s="304"/>
      <c r="F1012" s="304"/>
    </row>
    <row r="1013" spans="5:6">
      <c r="E1013" s="304"/>
      <c r="F1013" s="304"/>
    </row>
    <row r="1014" spans="5:6">
      <c r="E1014" s="304"/>
      <c r="F1014" s="304"/>
    </row>
    <row r="1015" spans="5:6">
      <c r="E1015" s="304"/>
      <c r="F1015" s="304"/>
    </row>
    <row r="1016" spans="5:6">
      <c r="E1016" s="304"/>
      <c r="F1016" s="304"/>
    </row>
    <row r="1017" spans="5:6">
      <c r="E1017" s="304"/>
      <c r="F1017" s="304"/>
    </row>
    <row r="1018" spans="5:6">
      <c r="E1018" s="304"/>
      <c r="F1018" s="304"/>
    </row>
    <row r="1019" spans="5:6">
      <c r="E1019" s="304"/>
      <c r="F1019" s="304"/>
    </row>
    <row r="1020" spans="5:6">
      <c r="E1020" s="304"/>
      <c r="F1020" s="304"/>
    </row>
    <row r="1021" spans="5:6">
      <c r="E1021" s="304"/>
      <c r="F1021" s="304"/>
    </row>
    <row r="1022" spans="5:6">
      <c r="E1022" s="304"/>
      <c r="F1022" s="304"/>
    </row>
    <row r="1023" spans="5:6">
      <c r="E1023" s="304"/>
      <c r="F1023" s="304"/>
    </row>
    <row r="1024" spans="5:6">
      <c r="E1024" s="304"/>
      <c r="F1024" s="304"/>
    </row>
    <row r="1025" spans="5:6">
      <c r="E1025" s="304"/>
      <c r="F1025" s="304"/>
    </row>
    <row r="1026" spans="5:6">
      <c r="E1026" s="304"/>
      <c r="F1026" s="304"/>
    </row>
    <row r="1027" spans="5:6">
      <c r="E1027" s="304"/>
      <c r="F1027" s="304"/>
    </row>
    <row r="1028" spans="5:6">
      <c r="E1028" s="304"/>
      <c r="F1028" s="304"/>
    </row>
    <row r="1029" spans="5:6">
      <c r="E1029" s="304"/>
      <c r="F1029" s="304"/>
    </row>
    <row r="1030" spans="5:6">
      <c r="E1030" s="304"/>
      <c r="F1030" s="304"/>
    </row>
    <row r="1031" spans="5:6">
      <c r="E1031" s="304"/>
      <c r="F1031" s="304"/>
    </row>
    <row r="1032" spans="5:6">
      <c r="E1032" s="304"/>
      <c r="F1032" s="304"/>
    </row>
    <row r="1033" spans="5:6">
      <c r="E1033" s="304"/>
      <c r="F1033" s="304"/>
    </row>
    <row r="1034" spans="5:6">
      <c r="E1034" s="304"/>
      <c r="F1034" s="304"/>
    </row>
    <row r="1035" spans="5:6">
      <c r="E1035" s="304"/>
      <c r="F1035" s="304"/>
    </row>
    <row r="1036" spans="5:6">
      <c r="E1036" s="304"/>
      <c r="F1036" s="304"/>
    </row>
    <row r="1037" spans="5:6">
      <c r="E1037" s="304"/>
      <c r="F1037" s="304"/>
    </row>
    <row r="1038" spans="5:6">
      <c r="E1038" s="304"/>
      <c r="F1038" s="304"/>
    </row>
    <row r="1039" spans="5:6">
      <c r="E1039" s="304"/>
      <c r="F1039" s="304"/>
    </row>
    <row r="1040" spans="5:6">
      <c r="E1040" s="304"/>
      <c r="F1040" s="304"/>
    </row>
    <row r="1041" spans="5:6">
      <c r="E1041" s="304"/>
      <c r="F1041" s="304"/>
    </row>
    <row r="1042" spans="5:6">
      <c r="E1042" s="304"/>
      <c r="F1042" s="304"/>
    </row>
    <row r="1043" spans="5:6">
      <c r="E1043" s="304"/>
      <c r="F1043" s="304"/>
    </row>
    <row r="1044" spans="5:6">
      <c r="E1044" s="304"/>
      <c r="F1044" s="304"/>
    </row>
    <row r="1045" spans="5:6">
      <c r="E1045" s="304"/>
      <c r="F1045" s="304"/>
    </row>
    <row r="1046" spans="5:6">
      <c r="E1046" s="304"/>
      <c r="F1046" s="304"/>
    </row>
    <row r="1047" spans="5:6">
      <c r="E1047" s="304"/>
      <c r="F1047" s="304"/>
    </row>
    <row r="1048" spans="5:6">
      <c r="E1048" s="304"/>
      <c r="F1048" s="304"/>
    </row>
    <row r="1049" spans="5:6">
      <c r="E1049" s="304"/>
      <c r="F1049" s="304"/>
    </row>
    <row r="1050" spans="5:6">
      <c r="E1050" s="304"/>
      <c r="F1050" s="304"/>
    </row>
    <row r="1051" spans="5:6">
      <c r="E1051" s="304"/>
      <c r="F1051" s="304"/>
    </row>
    <row r="1052" spans="5:6">
      <c r="E1052" s="304"/>
      <c r="F1052" s="304"/>
    </row>
    <row r="1053" spans="5:6">
      <c r="E1053" s="304"/>
      <c r="F1053" s="304"/>
    </row>
    <row r="1054" spans="5:6">
      <c r="E1054" s="304"/>
      <c r="F1054" s="304"/>
    </row>
    <row r="1055" spans="5:6">
      <c r="E1055" s="304"/>
      <c r="F1055" s="304"/>
    </row>
    <row r="1056" spans="5:6">
      <c r="E1056" s="304"/>
      <c r="F1056" s="304"/>
    </row>
    <row r="1057" spans="5:6">
      <c r="E1057" s="304"/>
      <c r="F1057" s="304"/>
    </row>
    <row r="1058" spans="5:6">
      <c r="E1058" s="304"/>
      <c r="F1058" s="304"/>
    </row>
    <row r="1059" spans="5:6">
      <c r="E1059" s="304"/>
      <c r="F1059" s="304"/>
    </row>
    <row r="1060" spans="5:6">
      <c r="E1060" s="304"/>
      <c r="F1060" s="304"/>
    </row>
    <row r="1061" spans="5:6">
      <c r="E1061" s="304"/>
      <c r="F1061" s="304"/>
    </row>
    <row r="1062" spans="5:6">
      <c r="E1062" s="304"/>
      <c r="F1062" s="304"/>
    </row>
    <row r="1063" spans="5:6">
      <c r="E1063" s="304"/>
      <c r="F1063" s="304"/>
    </row>
    <row r="1064" spans="5:6">
      <c r="E1064" s="304"/>
      <c r="F1064" s="304"/>
    </row>
    <row r="1065" spans="5:6">
      <c r="E1065" s="304"/>
      <c r="F1065" s="304"/>
    </row>
    <row r="1066" spans="5:6">
      <c r="E1066" s="304"/>
      <c r="F1066" s="304"/>
    </row>
    <row r="1067" spans="5:6">
      <c r="E1067" s="304"/>
      <c r="F1067" s="304"/>
    </row>
    <row r="1068" spans="5:6">
      <c r="E1068" s="304"/>
      <c r="F1068" s="304"/>
    </row>
    <row r="1069" spans="5:6">
      <c r="E1069" s="304"/>
      <c r="F1069" s="304"/>
    </row>
    <row r="1070" spans="5:6">
      <c r="E1070" s="304"/>
      <c r="F1070" s="304"/>
    </row>
    <row r="1071" spans="5:6">
      <c r="E1071" s="304"/>
      <c r="F1071" s="304"/>
    </row>
    <row r="1072" spans="5:6">
      <c r="E1072" s="304"/>
      <c r="F1072" s="304"/>
    </row>
    <row r="1073" spans="5:6">
      <c r="E1073" s="304"/>
      <c r="F1073" s="304"/>
    </row>
    <row r="1074" spans="5:6">
      <c r="E1074" s="304"/>
      <c r="F1074" s="304"/>
    </row>
    <row r="1075" spans="5:6">
      <c r="E1075" s="304"/>
      <c r="F1075" s="304"/>
    </row>
    <row r="1076" spans="5:6">
      <c r="E1076" s="304"/>
      <c r="F1076" s="304"/>
    </row>
    <row r="1077" spans="5:6">
      <c r="E1077" s="304"/>
      <c r="F1077" s="304"/>
    </row>
    <row r="1078" spans="5:6">
      <c r="E1078" s="304"/>
      <c r="F1078" s="304"/>
    </row>
    <row r="1079" spans="5:6">
      <c r="E1079" s="304"/>
      <c r="F1079" s="304"/>
    </row>
    <row r="1080" spans="5:6">
      <c r="E1080" s="304"/>
      <c r="F1080" s="304"/>
    </row>
    <row r="1081" spans="5:6">
      <c r="E1081" s="304"/>
      <c r="F1081" s="304"/>
    </row>
    <row r="1082" spans="5:6">
      <c r="E1082" s="304"/>
      <c r="F1082" s="304"/>
    </row>
    <row r="1083" spans="5:6">
      <c r="E1083" s="304"/>
      <c r="F1083" s="304"/>
    </row>
    <row r="1084" spans="5:6">
      <c r="E1084" s="304"/>
      <c r="F1084" s="304"/>
    </row>
    <row r="1085" spans="5:6">
      <c r="E1085" s="304"/>
      <c r="F1085" s="304"/>
    </row>
    <row r="1086" spans="5:6">
      <c r="E1086" s="304"/>
      <c r="F1086" s="304"/>
    </row>
    <row r="1087" spans="5:6">
      <c r="E1087" s="304"/>
      <c r="F1087" s="304"/>
    </row>
    <row r="1088" spans="5:6">
      <c r="E1088" s="304"/>
      <c r="F1088" s="304"/>
    </row>
    <row r="1089" spans="5:6">
      <c r="E1089" s="304"/>
      <c r="F1089" s="304"/>
    </row>
    <row r="1090" spans="5:6">
      <c r="E1090" s="304"/>
      <c r="F1090" s="304"/>
    </row>
    <row r="1091" spans="5:6">
      <c r="E1091" s="304"/>
      <c r="F1091" s="304"/>
    </row>
    <row r="1092" spans="5:6">
      <c r="E1092" s="304"/>
      <c r="F1092" s="304"/>
    </row>
    <row r="1093" spans="5:6">
      <c r="E1093" s="304"/>
      <c r="F1093" s="304"/>
    </row>
    <row r="1094" spans="5:6">
      <c r="E1094" s="304"/>
      <c r="F1094" s="304"/>
    </row>
    <row r="1095" spans="5:6">
      <c r="E1095" s="304"/>
      <c r="F1095" s="304"/>
    </row>
    <row r="1096" spans="5:6">
      <c r="E1096" s="304"/>
      <c r="F1096" s="304"/>
    </row>
    <row r="1097" spans="5:6">
      <c r="E1097" s="304"/>
      <c r="F1097" s="304"/>
    </row>
    <row r="1098" spans="5:6">
      <c r="E1098" s="304"/>
      <c r="F1098" s="304"/>
    </row>
    <row r="1099" spans="5:6">
      <c r="E1099" s="304"/>
      <c r="F1099" s="304"/>
    </row>
    <row r="1100" spans="5:6">
      <c r="E1100" s="304"/>
      <c r="F1100" s="304"/>
    </row>
    <row r="1101" spans="5:6">
      <c r="E1101" s="304"/>
      <c r="F1101" s="304"/>
    </row>
    <row r="1102" spans="5:6">
      <c r="E1102" s="304"/>
      <c r="F1102" s="304"/>
    </row>
    <row r="1103" spans="5:6">
      <c r="E1103" s="304"/>
      <c r="F1103" s="304"/>
    </row>
    <row r="1104" spans="5:6">
      <c r="E1104" s="304"/>
      <c r="F1104" s="304"/>
    </row>
    <row r="1105" spans="5:6">
      <c r="E1105" s="304"/>
      <c r="F1105" s="304"/>
    </row>
    <row r="1106" spans="5:6">
      <c r="E1106" s="304"/>
      <c r="F1106" s="304"/>
    </row>
    <row r="1107" spans="5:6">
      <c r="E1107" s="304"/>
      <c r="F1107" s="304"/>
    </row>
    <row r="1108" spans="5:6">
      <c r="E1108" s="304"/>
      <c r="F1108" s="304"/>
    </row>
    <row r="1109" spans="5:6">
      <c r="E1109" s="304"/>
      <c r="F1109" s="304"/>
    </row>
    <row r="1110" spans="5:6">
      <c r="E1110" s="304"/>
      <c r="F1110" s="304"/>
    </row>
    <row r="1111" spans="5:6">
      <c r="E1111" s="304"/>
      <c r="F1111" s="304"/>
    </row>
    <row r="1112" spans="5:6">
      <c r="E1112" s="304"/>
      <c r="F1112" s="304"/>
    </row>
    <row r="1113" spans="5:6">
      <c r="E1113" s="304"/>
      <c r="F1113" s="304"/>
    </row>
    <row r="1114" spans="5:6">
      <c r="E1114" s="304"/>
      <c r="F1114" s="304"/>
    </row>
    <row r="1115" spans="5:6">
      <c r="E1115" s="304"/>
      <c r="F1115" s="304"/>
    </row>
    <row r="1116" spans="5:6">
      <c r="E1116" s="304"/>
      <c r="F1116" s="304"/>
    </row>
    <row r="1117" spans="5:6">
      <c r="E1117" s="304"/>
      <c r="F1117" s="304"/>
    </row>
  </sheetData>
  <sheetProtection algorithmName="SHA-512" hashValue="IeLdKgO4T1MsqquFX0w01Jw61KMnTSdl1uZRUPDRW0jXca7cjjziO694T6B2z7N5XdnMOtIAdqj0MwN71TRGdw==" saltValue="YXkjk9qNjW8IARgmKz8HkA==" spinCount="100000" sheet="1" objects="1" scenarios="1"/>
  <mergeCells count="146">
    <mergeCell ref="A61:A63"/>
    <mergeCell ref="B61:B63"/>
    <mergeCell ref="C61:C63"/>
    <mergeCell ref="O61:O63"/>
    <mergeCell ref="P56:U60"/>
    <mergeCell ref="P61:U63"/>
    <mergeCell ref="V67:V68"/>
    <mergeCell ref="R1:V1"/>
    <mergeCell ref="V11:V12"/>
    <mergeCell ref="O11:O12"/>
    <mergeCell ref="P11:P12"/>
    <mergeCell ref="Q11:Q12"/>
    <mergeCell ref="G11:G12"/>
    <mergeCell ref="K11:K12"/>
    <mergeCell ref="L11:L12"/>
    <mergeCell ref="A1:L1"/>
    <mergeCell ref="A8:E8"/>
    <mergeCell ref="H11:H12"/>
    <mergeCell ref="A2:V2"/>
    <mergeCell ref="A9:O9"/>
    <mergeCell ref="A10:V10"/>
    <mergeCell ref="C11:C12"/>
    <mergeCell ref="C14:C16"/>
    <mergeCell ref="O14:O16"/>
    <mergeCell ref="P14:P16"/>
    <mergeCell ref="Q14:Q16"/>
    <mergeCell ref="R14:R16"/>
    <mergeCell ref="B14:B16"/>
    <mergeCell ref="B39:B40"/>
    <mergeCell ref="C39:C40"/>
    <mergeCell ref="B45:B46"/>
    <mergeCell ref="A26:A28"/>
    <mergeCell ref="R11:U11"/>
    <mergeCell ref="U14:U16"/>
    <mergeCell ref="B18:B19"/>
    <mergeCell ref="A41:A42"/>
    <mergeCell ref="T14:T16"/>
    <mergeCell ref="A14:A16"/>
    <mergeCell ref="A39:A40"/>
    <mergeCell ref="P26:P28"/>
    <mergeCell ref="A11:A12"/>
    <mergeCell ref="B11:B12"/>
    <mergeCell ref="D11:D12"/>
    <mergeCell ref="E11:E12"/>
    <mergeCell ref="F11:F12"/>
    <mergeCell ref="N11:N12"/>
    <mergeCell ref="I11:I12"/>
    <mergeCell ref="J11:J12"/>
    <mergeCell ref="M11:M12"/>
    <mergeCell ref="C41:C42"/>
    <mergeCell ref="O41:O42"/>
    <mergeCell ref="P41:P42"/>
    <mergeCell ref="T26:T28"/>
    <mergeCell ref="S26:S28"/>
    <mergeCell ref="B41:B42"/>
    <mergeCell ref="A84:C84"/>
    <mergeCell ref="C64:C65"/>
    <mergeCell ref="O64:O65"/>
    <mergeCell ref="P64:P65"/>
    <mergeCell ref="C47:C52"/>
    <mergeCell ref="B47:B52"/>
    <mergeCell ref="O45:O46"/>
    <mergeCell ref="P45:P46"/>
    <mergeCell ref="B76:D76"/>
    <mergeCell ref="B77:D77"/>
    <mergeCell ref="B78:D78"/>
    <mergeCell ref="B72:D72"/>
    <mergeCell ref="B74:D74"/>
    <mergeCell ref="B75:D75"/>
    <mergeCell ref="A64:A65"/>
    <mergeCell ref="B64:B65"/>
    <mergeCell ref="A47:A52"/>
    <mergeCell ref="A53:A55"/>
    <mergeCell ref="A56:A60"/>
    <mergeCell ref="B56:B60"/>
    <mergeCell ref="C56:C60"/>
    <mergeCell ref="B81:D81"/>
    <mergeCell ref="A45:A46"/>
    <mergeCell ref="C53:C55"/>
    <mergeCell ref="B80:D80"/>
    <mergeCell ref="B70:D70"/>
    <mergeCell ref="A69:D69"/>
    <mergeCell ref="B73:D73"/>
    <mergeCell ref="B71:D71"/>
    <mergeCell ref="U64:U65"/>
    <mergeCell ref="T64:T65"/>
    <mergeCell ref="S67:S68"/>
    <mergeCell ref="T67:T68"/>
    <mergeCell ref="U67:U68"/>
    <mergeCell ref="A67:A68"/>
    <mergeCell ref="B67:B68"/>
    <mergeCell ref="C67:C68"/>
    <mergeCell ref="N67:N68"/>
    <mergeCell ref="O67:O68"/>
    <mergeCell ref="P67:P68"/>
    <mergeCell ref="Q67:Q68"/>
    <mergeCell ref="R67:R68"/>
    <mergeCell ref="B79:D79"/>
    <mergeCell ref="O56:O60"/>
    <mergeCell ref="O26:O28"/>
    <mergeCell ref="B53:B55"/>
    <mergeCell ref="U26:U28"/>
    <mergeCell ref="U39:U40"/>
    <mergeCell ref="U41:U42"/>
    <mergeCell ref="U45:U46"/>
    <mergeCell ref="U47:U55"/>
    <mergeCell ref="P47:P55"/>
    <mergeCell ref="R47:R55"/>
    <mergeCell ref="S47:S55"/>
    <mergeCell ref="T47:T55"/>
    <mergeCell ref="T45:T46"/>
    <mergeCell ref="Q47:Q55"/>
    <mergeCell ref="O47:O52"/>
    <mergeCell ref="O53:O55"/>
    <mergeCell ref="B26:B28"/>
    <mergeCell ref="C26:C28"/>
    <mergeCell ref="Q26:Q28"/>
    <mergeCell ref="R26:R28"/>
    <mergeCell ref="P30:V38"/>
    <mergeCell ref="P39:P40"/>
    <mergeCell ref="C45:C46"/>
    <mergeCell ref="T41:T42"/>
    <mergeCell ref="B4:K4"/>
    <mergeCell ref="B5:O5"/>
    <mergeCell ref="B6:O6"/>
    <mergeCell ref="V14:V16"/>
    <mergeCell ref="N14:N16"/>
    <mergeCell ref="V26:V28"/>
    <mergeCell ref="N26:N28"/>
    <mergeCell ref="N39:N65"/>
    <mergeCell ref="V39:V65"/>
    <mergeCell ref="Q45:Q46"/>
    <mergeCell ref="R45:R46"/>
    <mergeCell ref="S45:S46"/>
    <mergeCell ref="Q39:Q40"/>
    <mergeCell ref="R39:R40"/>
    <mergeCell ref="S39:S40"/>
    <mergeCell ref="Q64:Q65"/>
    <mergeCell ref="R64:R65"/>
    <mergeCell ref="S64:S65"/>
    <mergeCell ref="T39:T40"/>
    <mergeCell ref="Q41:Q42"/>
    <mergeCell ref="R41:R42"/>
    <mergeCell ref="S41:S42"/>
    <mergeCell ref="O39:O40"/>
    <mergeCell ref="S14:S16"/>
  </mergeCells>
  <conditionalFormatting sqref="E11:G11 N13 G12 K11:L12 H11:H12 N11:O11">
    <cfRule type="dataBar" priority="5">
      <dataBar>
        <cfvo type="min"/>
        <cfvo type="max"/>
        <color rgb="FF638EC6"/>
      </dataBar>
      <extLst>
        <ext xmlns:x14="http://schemas.microsoft.com/office/spreadsheetml/2009/9/main" uri="{B025F937-C7B1-47D3-B67F-A62EFF666E3E}">
          <x14:id>{623EC25E-24C5-413C-ACA5-BDA91C468272}</x14:id>
        </ext>
      </extLst>
    </cfRule>
  </conditionalFormatting>
  <conditionalFormatting sqref="I11:J11">
    <cfRule type="dataBar" priority="4">
      <dataBar>
        <cfvo type="min"/>
        <cfvo type="max"/>
        <color rgb="FF638EC6"/>
      </dataBar>
      <extLst>
        <ext xmlns:x14="http://schemas.microsoft.com/office/spreadsheetml/2009/9/main" uri="{B025F937-C7B1-47D3-B67F-A62EFF666E3E}">
          <x14:id>{5E814624-33B8-454B-83FE-58A571E59BAC}</x14:id>
        </ext>
      </extLst>
    </cfRule>
  </conditionalFormatting>
  <conditionalFormatting sqref="J12">
    <cfRule type="dataBar" priority="3">
      <dataBar>
        <cfvo type="min"/>
        <cfvo type="max"/>
        <color rgb="FF638EC6"/>
      </dataBar>
      <extLst>
        <ext xmlns:x14="http://schemas.microsoft.com/office/spreadsheetml/2009/9/main" uri="{B025F937-C7B1-47D3-B67F-A62EFF666E3E}">
          <x14:id>{50FE46B7-0616-4D77-AD91-CBDD0ACEB24A}</x14:id>
        </ext>
      </extLst>
    </cfRule>
  </conditionalFormatting>
  <conditionalFormatting sqref="M11">
    <cfRule type="dataBar" priority="2">
      <dataBar>
        <cfvo type="min"/>
        <cfvo type="max"/>
        <color rgb="FF638EC6"/>
      </dataBar>
      <extLst>
        <ext xmlns:x14="http://schemas.microsoft.com/office/spreadsheetml/2009/9/main" uri="{B025F937-C7B1-47D3-B67F-A62EFF666E3E}">
          <x14:id>{EDE6A819-4050-466F-8CAD-BD81CC1772DA}</x14:id>
        </ext>
      </extLst>
    </cfRule>
  </conditionalFormatting>
  <conditionalFormatting sqref="M12">
    <cfRule type="dataBar" priority="1">
      <dataBar>
        <cfvo type="min"/>
        <cfvo type="max"/>
        <color rgb="FF638EC6"/>
      </dataBar>
      <extLst>
        <ext xmlns:x14="http://schemas.microsoft.com/office/spreadsheetml/2009/9/main" uri="{B025F937-C7B1-47D3-B67F-A62EFF666E3E}">
          <x14:id>{88D21044-1A44-4296-AAEB-69F67E1416EB}</x14:id>
        </ext>
      </extLst>
    </cfRule>
  </conditionalFormatting>
  <pageMargins left="0.70866141732283472" right="0.70866141732283472" top="0.74803149606299213" bottom="0.74803149606299213" header="0.31496062992125984" footer="0.31496062992125984"/>
  <pageSetup paperSize="8" scale="58" fitToHeight="0" pageOrder="overThenDown" orientation="landscape" r:id="rId1"/>
  <extLst>
    <ext xmlns:x14="http://schemas.microsoft.com/office/spreadsheetml/2009/9/main" uri="{78C0D931-6437-407d-A8EE-F0AAD7539E65}">
      <x14:conditionalFormattings>
        <x14:conditionalFormatting xmlns:xm="http://schemas.microsoft.com/office/excel/2006/main">
          <x14:cfRule type="dataBar" id="{623EC25E-24C5-413C-ACA5-BDA91C468272}">
            <x14:dataBar minLength="0" maxLength="100" border="1" negativeBarBorderColorSameAsPositive="0">
              <x14:cfvo type="autoMin"/>
              <x14:cfvo type="autoMax"/>
              <x14:borderColor rgb="FF638EC6"/>
              <x14:negativeFillColor rgb="FFFF0000"/>
              <x14:negativeBorderColor rgb="FFFF0000"/>
              <x14:axisColor rgb="FF000000"/>
            </x14:dataBar>
          </x14:cfRule>
          <xm:sqref>E11:G11 N13 G12 K11:L12 H11:H12 N11:O11</xm:sqref>
        </x14:conditionalFormatting>
        <x14:conditionalFormatting xmlns:xm="http://schemas.microsoft.com/office/excel/2006/main">
          <x14:cfRule type="dataBar" id="{5E814624-33B8-454B-83FE-58A571E59BAC}">
            <x14:dataBar minLength="0" maxLength="100" border="1" negativeBarBorderColorSameAsPositive="0">
              <x14:cfvo type="autoMin"/>
              <x14:cfvo type="autoMax"/>
              <x14:borderColor rgb="FF638EC6"/>
              <x14:negativeFillColor rgb="FFFF0000"/>
              <x14:negativeBorderColor rgb="FFFF0000"/>
              <x14:axisColor rgb="FF000000"/>
            </x14:dataBar>
          </x14:cfRule>
          <xm:sqref>I11:J11</xm:sqref>
        </x14:conditionalFormatting>
        <x14:conditionalFormatting xmlns:xm="http://schemas.microsoft.com/office/excel/2006/main">
          <x14:cfRule type="dataBar" id="{50FE46B7-0616-4D77-AD91-CBDD0ACEB24A}">
            <x14:dataBar minLength="0" maxLength="100" border="1" negativeBarBorderColorSameAsPositive="0">
              <x14:cfvo type="autoMin"/>
              <x14:cfvo type="autoMax"/>
              <x14:borderColor rgb="FF638EC6"/>
              <x14:negativeFillColor rgb="FFFF0000"/>
              <x14:negativeBorderColor rgb="FFFF0000"/>
              <x14:axisColor rgb="FF000000"/>
            </x14:dataBar>
          </x14:cfRule>
          <xm:sqref>J12</xm:sqref>
        </x14:conditionalFormatting>
        <x14:conditionalFormatting xmlns:xm="http://schemas.microsoft.com/office/excel/2006/main">
          <x14:cfRule type="dataBar" id="{EDE6A819-4050-466F-8CAD-BD81CC1772DA}">
            <x14:dataBar minLength="0" maxLength="100" border="1" negativeBarBorderColorSameAsPositive="0">
              <x14:cfvo type="autoMin"/>
              <x14:cfvo type="autoMax"/>
              <x14:borderColor rgb="FF638EC6"/>
              <x14:negativeFillColor rgb="FFFF0000"/>
              <x14:negativeBorderColor rgb="FFFF0000"/>
              <x14:axisColor rgb="FF000000"/>
            </x14:dataBar>
          </x14:cfRule>
          <xm:sqref>M11</xm:sqref>
        </x14:conditionalFormatting>
        <x14:conditionalFormatting xmlns:xm="http://schemas.microsoft.com/office/excel/2006/main">
          <x14:cfRule type="dataBar" id="{88D21044-1A44-4296-AAEB-69F67E1416EB}">
            <x14:dataBar minLength="0" maxLength="100" border="1" negativeBarBorderColorSameAsPositive="0">
              <x14:cfvo type="autoMin"/>
              <x14:cfvo type="autoMax"/>
              <x14:borderColor rgb="FF638EC6"/>
              <x14:negativeFillColor rgb="FFFF0000"/>
              <x14:negativeBorderColor rgb="FFFF0000"/>
              <x14:axisColor rgb="FF000000"/>
            </x14:dataBar>
          </x14:cfRule>
          <xm:sqref>M12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2AA0C-A947-47D3-986E-93671AAB61EB}">
  <dimension ref="A1:BB1161"/>
  <sheetViews>
    <sheetView zoomScale="93" zoomScaleNormal="93" zoomScaleSheetLayoutView="100" workbookViewId="0">
      <selection activeCell="Y13" sqref="Y13"/>
    </sheetView>
  </sheetViews>
  <sheetFormatPr defaultColWidth="9.140625" defaultRowHeight="25.5" customHeight="1"/>
  <cols>
    <col min="1" max="1" width="15.28515625" style="89" customWidth="1"/>
    <col min="2" max="2" width="34.85546875" style="89" customWidth="1"/>
    <col min="3" max="3" width="4.28515625" style="89" customWidth="1"/>
    <col min="4" max="4" width="7.7109375" style="89" customWidth="1"/>
    <col min="5" max="6" width="10.7109375" style="90" hidden="1" customWidth="1"/>
    <col min="7" max="7" width="10.7109375" style="89" hidden="1" customWidth="1"/>
    <col min="8" max="8" width="15.42578125" style="89" hidden="1" customWidth="1"/>
    <col min="9" max="10" width="15.42578125" style="570" hidden="1" customWidth="1"/>
    <col min="11" max="11" width="14.7109375" style="89" customWidth="1"/>
    <col min="12" max="13" width="15.28515625" style="89" customWidth="1"/>
    <col min="14" max="14" width="12.28515625" style="208" customWidth="1"/>
    <col min="15" max="15" width="53.85546875" style="89" customWidth="1"/>
    <col min="16" max="16" width="15.5703125" style="89" customWidth="1"/>
    <col min="17" max="17" width="30.5703125" style="89" customWidth="1"/>
    <col min="18" max="18" width="6.28515625" style="208" hidden="1" customWidth="1"/>
    <col min="19" max="21" width="6.28515625" style="208" customWidth="1"/>
    <col min="22" max="22" width="29.42578125" style="89" customWidth="1"/>
    <col min="23" max="23" width="9.140625" style="89" customWidth="1"/>
    <col min="24" max="24" width="9.140625" style="89"/>
    <col min="25" max="25" width="8.85546875" style="89" customWidth="1"/>
    <col min="26" max="26" width="17" style="89" customWidth="1"/>
    <col min="27" max="16384" width="9.140625" style="89"/>
  </cols>
  <sheetData>
    <row r="1" spans="1:25" ht="25.5" customHeight="1">
      <c r="A1" s="2804" t="s">
        <v>1961</v>
      </c>
      <c r="B1" s="2804"/>
      <c r="C1" s="2804"/>
      <c r="D1" s="2804"/>
      <c r="E1" s="2804"/>
      <c r="F1" s="2804"/>
      <c r="G1" s="2804"/>
      <c r="H1" s="2804"/>
      <c r="I1" s="2804"/>
      <c r="J1" s="2804"/>
      <c r="K1" s="2804"/>
      <c r="L1" s="2804"/>
      <c r="M1" s="2804"/>
      <c r="N1" s="2804"/>
      <c r="O1" s="2804"/>
      <c r="R1" s="2798"/>
      <c r="S1" s="2798"/>
      <c r="T1" s="2798"/>
      <c r="U1" s="2798"/>
      <c r="V1" s="2798"/>
    </row>
    <row r="2" spans="1:25" ht="41.25" customHeight="1">
      <c r="A2" s="2781" t="s">
        <v>2862</v>
      </c>
      <c r="B2" s="2781"/>
      <c r="C2" s="2781"/>
      <c r="D2" s="2781"/>
      <c r="E2" s="2781"/>
      <c r="F2" s="2781"/>
      <c r="G2" s="2781"/>
      <c r="H2" s="2781"/>
      <c r="I2" s="2781"/>
      <c r="J2" s="2781"/>
      <c r="K2" s="2781"/>
      <c r="L2" s="2781"/>
      <c r="M2" s="2781"/>
      <c r="N2" s="2781"/>
      <c r="O2" s="2781"/>
      <c r="P2" s="2781"/>
      <c r="Q2" s="2781"/>
      <c r="R2" s="2781"/>
      <c r="S2" s="2781"/>
      <c r="T2" s="2781"/>
      <c r="U2" s="2781"/>
      <c r="V2" s="2781"/>
    </row>
    <row r="3" spans="1:25" ht="10.5" customHeight="1">
      <c r="A3" s="87"/>
      <c r="B3" s="87"/>
      <c r="C3" s="87"/>
      <c r="D3" s="87"/>
      <c r="E3" s="87"/>
      <c r="F3" s="87"/>
      <c r="G3" s="87"/>
      <c r="H3" s="87"/>
      <c r="I3" s="460"/>
      <c r="J3" s="460"/>
      <c r="K3" s="87"/>
      <c r="L3" s="87"/>
      <c r="M3" s="87"/>
      <c r="O3" s="87"/>
    </row>
    <row r="4" spans="1:25" ht="14.25" customHeight="1">
      <c r="A4" s="89" t="str">
        <f>A16</f>
        <v>04.01.01. (T)</v>
      </c>
      <c r="B4" s="89" t="str">
        <f>B16</f>
        <v>Užtikrinti efektyvią kultūros įstaigų veiklą</v>
      </c>
      <c r="E4" s="89"/>
      <c r="F4" s="89"/>
    </row>
    <row r="5" spans="1:25" ht="27.75" customHeight="1">
      <c r="A5" s="204" t="str">
        <f>A41</f>
        <v>04.02.01. (T)</v>
      </c>
      <c r="B5" s="2805" t="str">
        <f>B41</f>
        <v>Sąlygų Dainų švenčių tradicijos tęstinumui Visagino savivaldybėje sudarymas, mėgėjų meno kolektyvų pasirengimo ir dalyvavimo Dainų šventėse,  vietiniuose, regioniniuose, respublikiniuose ir tarptautiniuose renginiuose užtikrinimas, mėgėjų meną populiarinančių renginių organizavimas, tautinių mažumų kultūrų įvairovės pristatymas</v>
      </c>
      <c r="C5" s="2805"/>
      <c r="D5" s="2805"/>
      <c r="E5" s="2805"/>
      <c r="F5" s="2805"/>
      <c r="G5" s="2805"/>
      <c r="H5" s="2805"/>
      <c r="I5" s="2805"/>
      <c r="J5" s="2805"/>
      <c r="K5" s="2805"/>
      <c r="L5" s="2805"/>
      <c r="M5" s="2805"/>
      <c r="N5" s="2805"/>
      <c r="O5" s="2805"/>
      <c r="P5" s="2805"/>
      <c r="Q5" s="2805"/>
      <c r="R5" s="2805"/>
      <c r="S5" s="2805"/>
      <c r="T5" s="2805"/>
      <c r="U5" s="2805"/>
      <c r="V5" s="2805"/>
      <c r="W5" s="204"/>
      <c r="X5" s="204"/>
      <c r="Y5" s="204"/>
    </row>
    <row r="6" spans="1:25" ht="27.75" customHeight="1">
      <c r="A6" s="89" t="str">
        <f>A61</f>
        <v>04.02.02. (T)</v>
      </c>
      <c r="B6" s="2806" t="str">
        <f>B61</f>
        <v>Siekiant formuoti regioninį išskirtinumą, kurti savitus, aktualaus turinio, kokybiškus kultūros produktus ir paslaugas, sudaryti sąlygas savivaldybės kultūros lauko veikėjų kultūrinių,  kūrybinių iniciatyvų įgyvendinimui, tam pasitelkti kūrybiškos vietokūros metodo teikiamas galimybes bei sudaryti sąlygas profesionalaus meno prieinamumui</v>
      </c>
      <c r="C6" s="2806"/>
      <c r="D6" s="2806"/>
      <c r="E6" s="2806"/>
      <c r="F6" s="2806"/>
      <c r="G6" s="2806"/>
      <c r="H6" s="2806"/>
      <c r="I6" s="2806"/>
      <c r="J6" s="2806"/>
      <c r="K6" s="2806"/>
      <c r="L6" s="2806"/>
      <c r="M6" s="2806"/>
      <c r="N6" s="2806"/>
      <c r="O6" s="2806"/>
      <c r="P6" s="2806"/>
      <c r="Q6" s="2806"/>
      <c r="R6" s="2806"/>
      <c r="S6" s="2806"/>
      <c r="T6" s="2806"/>
      <c r="U6" s="2806"/>
      <c r="V6" s="2806"/>
    </row>
    <row r="7" spans="1:25" ht="13.5" customHeight="1">
      <c r="A7" s="204" t="str">
        <f>A88</f>
        <v>04.02.03. (T)</v>
      </c>
      <c r="B7" s="89" t="str">
        <f>B88</f>
        <v>Valstybės švenčių, sukakčių, įvykių minėjimas, visuomenės pilietiškumo, patriotiškumo ir nacionalinės savivertės stiprinimas</v>
      </c>
      <c r="E7" s="89"/>
      <c r="F7" s="89"/>
    </row>
    <row r="8" spans="1:25" ht="15" customHeight="1">
      <c r="A8" s="204" t="str">
        <f>A98</f>
        <v>04.02.04. (T)</v>
      </c>
      <c r="B8" s="89" t="str">
        <f>B98</f>
        <v>Sociokultūrinių bendruomenės poreikių tenkinimas, laisvalaikio, neformaliojo švietimo programų, kultūrinių edukacijų, ugdančių gyventojų kultūrines kompetencijas ir kūrybiškumą, organizavimas įtraukiant skirtingo amžiaus, pomėgių ir poreikių visuomenės grupes</v>
      </c>
      <c r="E8" s="89"/>
      <c r="F8" s="89"/>
    </row>
    <row r="9" spans="1:25" ht="14.25" customHeight="1">
      <c r="A9" s="87"/>
      <c r="B9" s="87"/>
      <c r="C9" s="87"/>
      <c r="D9" s="87"/>
      <c r="E9" s="87"/>
      <c r="F9" s="87"/>
      <c r="G9" s="87"/>
      <c r="H9" s="87"/>
      <c r="I9" s="460"/>
      <c r="J9" s="460"/>
      <c r="K9" s="87"/>
      <c r="L9" s="87"/>
      <c r="M9" s="87"/>
      <c r="O9" s="87"/>
    </row>
    <row r="10" spans="1:25" s="84" customFormat="1" ht="18.75" customHeight="1">
      <c r="A10" s="2781" t="s">
        <v>3098</v>
      </c>
      <c r="B10" s="2781"/>
      <c r="C10" s="2781"/>
      <c r="D10" s="2781"/>
      <c r="E10" s="2781"/>
      <c r="F10" s="112"/>
      <c r="G10" s="112"/>
      <c r="H10" s="112"/>
      <c r="I10" s="604"/>
      <c r="J10" s="604"/>
      <c r="K10" s="98"/>
      <c r="L10" s="98"/>
      <c r="M10" s="98"/>
      <c r="N10" s="206"/>
      <c r="O10" s="98"/>
      <c r="R10" s="207"/>
      <c r="S10" s="207"/>
      <c r="T10" s="207"/>
      <c r="U10" s="207"/>
      <c r="V10" s="82"/>
    </row>
    <row r="11" spans="1:25" s="84" customFormat="1" ht="18.75" customHeight="1">
      <c r="A11" s="2781" t="s">
        <v>4236</v>
      </c>
      <c r="B11" s="2781"/>
      <c r="C11" s="2781"/>
      <c r="D11" s="2781"/>
      <c r="E11" s="2781"/>
      <c r="F11" s="2781"/>
      <c r="G11" s="2781"/>
      <c r="H11" s="2781"/>
      <c r="I11" s="2781"/>
      <c r="J11" s="2781"/>
      <c r="K11" s="2781"/>
      <c r="L11" s="2781"/>
      <c r="M11" s="2781"/>
      <c r="N11" s="2781"/>
      <c r="O11" s="2781"/>
      <c r="P11" s="2781"/>
      <c r="Q11" s="2781"/>
      <c r="R11" s="2781"/>
      <c r="S11" s="2781"/>
      <c r="T11" s="2781"/>
      <c r="U11" s="2781"/>
      <c r="V11" s="2781"/>
    </row>
    <row r="12" spans="1:25" ht="10.5" customHeight="1">
      <c r="A12" s="122"/>
      <c r="B12" s="87"/>
      <c r="C12" s="87"/>
      <c r="D12" s="87"/>
      <c r="E12" s="87"/>
      <c r="F12" s="87"/>
      <c r="G12" s="87"/>
      <c r="H12" s="87"/>
      <c r="I12" s="460"/>
      <c r="J12" s="460"/>
      <c r="K12" s="87"/>
      <c r="L12" s="115"/>
      <c r="M12" s="115"/>
      <c r="O12" s="87"/>
    </row>
    <row r="13" spans="1:25" ht="15" customHeight="1">
      <c r="A13" s="89" t="s">
        <v>4183</v>
      </c>
      <c r="E13" s="89"/>
      <c r="F13" s="89"/>
      <c r="I13" s="89"/>
      <c r="J13" s="89"/>
      <c r="M13" s="445"/>
      <c r="O13" s="87"/>
    </row>
    <row r="14" spans="1:25" s="254" customFormat="1" ht="44.25" customHeight="1">
      <c r="A14" s="2359" t="s">
        <v>730</v>
      </c>
      <c r="B14" s="2359" t="s">
        <v>2013</v>
      </c>
      <c r="C14" s="2773" t="s">
        <v>1072</v>
      </c>
      <c r="D14" s="2748" t="s">
        <v>1073</v>
      </c>
      <c r="E14" s="2801" t="s">
        <v>1091</v>
      </c>
      <c r="F14" s="2445" t="s">
        <v>1186</v>
      </c>
      <c r="G14" s="2625" t="s">
        <v>2481</v>
      </c>
      <c r="H14" s="2637" t="s">
        <v>2030</v>
      </c>
      <c r="I14" s="2445" t="s">
        <v>3099</v>
      </c>
      <c r="J14" s="2445" t="s">
        <v>3100</v>
      </c>
      <c r="K14" s="2359" t="s">
        <v>2029</v>
      </c>
      <c r="L14" s="2359" t="s">
        <v>2086</v>
      </c>
      <c r="M14" s="2359" t="s">
        <v>3097</v>
      </c>
      <c r="N14" s="2481" t="s">
        <v>2052</v>
      </c>
      <c r="O14" s="2489" t="s">
        <v>2921</v>
      </c>
      <c r="P14" s="2361" t="s">
        <v>731</v>
      </c>
      <c r="Q14" s="2361" t="s">
        <v>1093</v>
      </c>
      <c r="R14" s="2740" t="s">
        <v>732</v>
      </c>
      <c r="S14" s="2741"/>
      <c r="T14" s="2741"/>
      <c r="U14" s="2742"/>
      <c r="V14" s="2361" t="s">
        <v>733</v>
      </c>
    </row>
    <row r="15" spans="1:25" s="254" customFormat="1" ht="44.25" customHeight="1">
      <c r="A15" s="2610"/>
      <c r="B15" s="2610"/>
      <c r="C15" s="2799"/>
      <c r="D15" s="2800"/>
      <c r="E15" s="2801"/>
      <c r="F15" s="2802"/>
      <c r="G15" s="2803"/>
      <c r="H15" s="2782"/>
      <c r="I15" s="2446"/>
      <c r="J15" s="2446"/>
      <c r="K15" s="2610"/>
      <c r="L15" s="2610"/>
      <c r="M15" s="2360"/>
      <c r="N15" s="2482"/>
      <c r="O15" s="2489"/>
      <c r="P15" s="2362"/>
      <c r="Q15" s="2362"/>
      <c r="R15" s="209">
        <v>2024</v>
      </c>
      <c r="S15" s="455">
        <v>2025</v>
      </c>
      <c r="T15" s="455">
        <v>2026</v>
      </c>
      <c r="U15" s="455">
        <v>2027</v>
      </c>
      <c r="V15" s="2362"/>
    </row>
    <row r="16" spans="1:25" s="193" customFormat="1" ht="51.75" customHeight="1">
      <c r="A16" s="954" t="s">
        <v>2066</v>
      </c>
      <c r="B16" s="954" t="s">
        <v>1362</v>
      </c>
      <c r="C16" s="1359"/>
      <c r="D16" s="1359"/>
      <c r="E16" s="1049">
        <f>SUM(E23,E38)</f>
        <v>1523.662</v>
      </c>
      <c r="F16" s="1047">
        <f>H16/E16-1</f>
        <v>0.12904108654019053</v>
      </c>
      <c r="G16" s="1049">
        <f t="shared" ref="G16:L16" si="0">SUM(G23,G38)</f>
        <v>1745.6989999999998</v>
      </c>
      <c r="H16" s="1006">
        <f>SUM(H23,H38)</f>
        <v>1720.2769999999998</v>
      </c>
      <c r="I16" s="1049"/>
      <c r="J16" s="1049"/>
      <c r="K16" s="1006">
        <f t="shared" si="0"/>
        <v>233.17599999999999</v>
      </c>
      <c r="L16" s="1006">
        <f t="shared" si="0"/>
        <v>229.476</v>
      </c>
      <c r="M16" s="1006"/>
      <c r="N16" s="183" t="s">
        <v>909</v>
      </c>
      <c r="O16" s="954"/>
      <c r="P16" s="970" t="s">
        <v>1354</v>
      </c>
      <c r="Q16" s="970" t="s">
        <v>911</v>
      </c>
      <c r="R16" s="970" t="s">
        <v>1340</v>
      </c>
      <c r="S16" s="970" t="s">
        <v>1340</v>
      </c>
      <c r="T16" s="970" t="s">
        <v>142</v>
      </c>
      <c r="U16" s="970" t="s">
        <v>1470</v>
      </c>
      <c r="V16" s="969" t="s">
        <v>911</v>
      </c>
    </row>
    <row r="17" spans="1:22" ht="25.5" customHeight="1">
      <c r="A17" s="2746" t="s">
        <v>2067</v>
      </c>
      <c r="B17" s="2355" t="s">
        <v>1191</v>
      </c>
      <c r="C17" s="2783" t="s">
        <v>1080</v>
      </c>
      <c r="D17" s="1360" t="s">
        <v>471</v>
      </c>
      <c r="E17" s="1099">
        <f>SUM(E24,E30)</f>
        <v>1368.74</v>
      </c>
      <c r="F17" s="1361">
        <f>H17/E17-1</f>
        <v>0.10258339786957338</v>
      </c>
      <c r="G17" s="1099">
        <f t="shared" ref="G17" si="1">SUM(G24,G30)</f>
        <v>1494.6489999999999</v>
      </c>
      <c r="H17" s="1100">
        <f t="shared" ref="H17:M17" si="2">SUM(H24,H30)</f>
        <v>1509.1499999999999</v>
      </c>
      <c r="I17" s="1100"/>
      <c r="J17" s="1099">
        <f t="shared" si="2"/>
        <v>1786.24</v>
      </c>
      <c r="K17" s="1100">
        <f t="shared" si="2"/>
        <v>1654.5900000000001</v>
      </c>
      <c r="L17" s="1100">
        <f t="shared" si="2"/>
        <v>1658.3799999999999</v>
      </c>
      <c r="M17" s="1100">
        <f t="shared" si="2"/>
        <v>1737.6599999999999</v>
      </c>
      <c r="N17" s="2490" t="s">
        <v>2310</v>
      </c>
      <c r="O17" s="2350" t="s">
        <v>1384</v>
      </c>
      <c r="P17" s="2344" t="s">
        <v>1353</v>
      </c>
      <c r="Q17" s="2344" t="s">
        <v>1361</v>
      </c>
      <c r="R17" s="2344" t="s">
        <v>1409</v>
      </c>
      <c r="S17" s="2344" t="s">
        <v>433</v>
      </c>
      <c r="T17" s="2344" t="s">
        <v>433</v>
      </c>
      <c r="U17" s="2343" t="s">
        <v>433</v>
      </c>
      <c r="V17" s="2778" t="s">
        <v>2311</v>
      </c>
    </row>
    <row r="18" spans="1:22" ht="25.5" customHeight="1">
      <c r="A18" s="2746"/>
      <c r="B18" s="2355"/>
      <c r="C18" s="2783"/>
      <c r="D18" s="1360" t="s">
        <v>1079</v>
      </c>
      <c r="E18" s="1099">
        <f t="shared" ref="E18:G18" si="3">SUM(E25,E31)</f>
        <v>55.830000000000005</v>
      </c>
      <c r="F18" s="1361">
        <f>H18/E18-1</f>
        <v>0.16245746014687446</v>
      </c>
      <c r="G18" s="1099">
        <f t="shared" si="3"/>
        <v>41.6</v>
      </c>
      <c r="H18" s="1100">
        <f>SUM(H25,H31)</f>
        <v>64.900000000000006</v>
      </c>
      <c r="I18" s="1100"/>
      <c r="J18" s="1099">
        <f t="shared" ref="J18:M18" si="4">SUM(J25,J31)</f>
        <v>48.9</v>
      </c>
      <c r="K18" s="1100">
        <f t="shared" si="4"/>
        <v>48.9</v>
      </c>
      <c r="L18" s="1100">
        <f t="shared" si="4"/>
        <v>53.199999999999996</v>
      </c>
      <c r="M18" s="1100">
        <f t="shared" si="4"/>
        <v>57.5</v>
      </c>
      <c r="N18" s="2491"/>
      <c r="O18" s="2395"/>
      <c r="P18" s="2344"/>
      <c r="Q18" s="2344"/>
      <c r="R18" s="2344"/>
      <c r="S18" s="2344"/>
      <c r="T18" s="2344"/>
      <c r="U18" s="2345"/>
      <c r="V18" s="2779"/>
    </row>
    <row r="19" spans="1:22" ht="25.5" customHeight="1">
      <c r="A19" s="2746"/>
      <c r="B19" s="2355"/>
      <c r="C19" s="2783"/>
      <c r="D19" s="1360" t="s">
        <v>3025</v>
      </c>
      <c r="E19" s="1099"/>
      <c r="F19" s="1361"/>
      <c r="G19" s="1099"/>
      <c r="H19" s="1100">
        <f>H32</f>
        <v>4.7430000000000003</v>
      </c>
      <c r="I19" s="1100"/>
      <c r="J19" s="1099">
        <f t="shared" ref="J19:L19" si="5">J32</f>
        <v>0</v>
      </c>
      <c r="K19" s="1100">
        <f t="shared" si="5"/>
        <v>0</v>
      </c>
      <c r="L19" s="1100">
        <f t="shared" si="5"/>
        <v>0</v>
      </c>
      <c r="M19" s="1100">
        <v>0</v>
      </c>
      <c r="N19" s="2491"/>
      <c r="O19" s="2395"/>
      <c r="P19" s="2344"/>
      <c r="Q19" s="2344"/>
      <c r="R19" s="2344"/>
      <c r="S19" s="2344"/>
      <c r="T19" s="2344"/>
      <c r="U19" s="2345"/>
      <c r="V19" s="2779"/>
    </row>
    <row r="20" spans="1:22" ht="25.5" customHeight="1">
      <c r="A20" s="2746"/>
      <c r="B20" s="2355"/>
      <c r="C20" s="2783"/>
      <c r="D20" s="1360" t="s">
        <v>1122</v>
      </c>
      <c r="E20" s="1099">
        <f>SUM(E26,E33)</f>
        <v>23.091999999999999</v>
      </c>
      <c r="F20" s="1361">
        <f>H20/E20-1</f>
        <v>0.10358565737051806</v>
      </c>
      <c r="G20" s="1099">
        <f>SUM(G26,G33)</f>
        <v>23.78</v>
      </c>
      <c r="H20" s="1100">
        <f t="shared" ref="H20:L20" si="6">SUM(H26,H33)</f>
        <v>25.484000000000002</v>
      </c>
      <c r="I20" s="1100"/>
      <c r="J20" s="1099">
        <f t="shared" si="6"/>
        <v>26</v>
      </c>
      <c r="K20" s="1100">
        <f t="shared" si="6"/>
        <v>25.276</v>
      </c>
      <c r="L20" s="1100">
        <f t="shared" si="6"/>
        <v>25.276</v>
      </c>
      <c r="M20" s="1100">
        <f>SUM(M26,M32)</f>
        <v>25.276</v>
      </c>
      <c r="N20" s="2491"/>
      <c r="O20" s="2395"/>
      <c r="P20" s="2344"/>
      <c r="Q20" s="2344"/>
      <c r="R20" s="2344"/>
      <c r="S20" s="2344"/>
      <c r="T20" s="2344"/>
      <c r="U20" s="2345"/>
      <c r="V20" s="2779"/>
    </row>
    <row r="21" spans="1:22" ht="25.5" customHeight="1">
      <c r="A21" s="2746"/>
      <c r="B21" s="2355"/>
      <c r="C21" s="2783"/>
      <c r="D21" s="1360" t="s">
        <v>246</v>
      </c>
      <c r="E21" s="1099">
        <f>SUM(E27,E34)</f>
        <v>0</v>
      </c>
      <c r="F21" s="1361"/>
      <c r="G21" s="1099">
        <f>SUM(G27,G34)</f>
        <v>0</v>
      </c>
      <c r="H21" s="1100">
        <f t="shared" ref="H21:M21" si="7">SUM(H27,H34)</f>
        <v>0</v>
      </c>
      <c r="I21" s="1100"/>
      <c r="J21" s="1099">
        <f t="shared" si="7"/>
        <v>0</v>
      </c>
      <c r="K21" s="1100">
        <f t="shared" si="7"/>
        <v>0</v>
      </c>
      <c r="L21" s="1100">
        <f t="shared" si="7"/>
        <v>0</v>
      </c>
      <c r="M21" s="1100">
        <f t="shared" si="7"/>
        <v>0</v>
      </c>
      <c r="N21" s="2491"/>
      <c r="O21" s="2395"/>
      <c r="P21" s="2344"/>
      <c r="Q21" s="2344"/>
      <c r="R21" s="2344"/>
      <c r="S21" s="2344"/>
      <c r="T21" s="2344"/>
      <c r="U21" s="2345"/>
      <c r="V21" s="2779"/>
    </row>
    <row r="22" spans="1:22" ht="25.5" customHeight="1">
      <c r="A22" s="2727"/>
      <c r="B22" s="2465"/>
      <c r="C22" s="2466"/>
      <c r="D22" s="1050" t="s">
        <v>712</v>
      </c>
      <c r="E22" s="1099">
        <f>SUM(E28,E35)</f>
        <v>0</v>
      </c>
      <c r="F22" s="1361"/>
      <c r="G22" s="1099">
        <f>SUM(G28,G35)</f>
        <v>16</v>
      </c>
      <c r="H22" s="1100">
        <v>16</v>
      </c>
      <c r="I22" s="1100"/>
      <c r="J22" s="1099">
        <f>SUM(J35)</f>
        <v>34</v>
      </c>
      <c r="K22" s="1100">
        <f>SUM(K35)</f>
        <v>34</v>
      </c>
      <c r="L22" s="1100">
        <f t="shared" ref="L22:M22" si="8">SUM(L35)</f>
        <v>26</v>
      </c>
      <c r="M22" s="1100">
        <f t="shared" si="8"/>
        <v>26</v>
      </c>
      <c r="N22" s="2491"/>
      <c r="O22" s="2395"/>
      <c r="P22" s="2342"/>
      <c r="Q22" s="2342"/>
      <c r="R22" s="2342"/>
      <c r="S22" s="2342"/>
      <c r="T22" s="2342"/>
      <c r="U22" s="2345"/>
      <c r="V22" s="2779"/>
    </row>
    <row r="23" spans="1:22" ht="25.5" customHeight="1">
      <c r="A23" s="2727"/>
      <c r="B23" s="2465"/>
      <c r="C23" s="2466"/>
      <c r="D23" s="1056" t="s">
        <v>1076</v>
      </c>
      <c r="E23" s="1411">
        <f>SUM(E17:E22)</f>
        <v>1447.662</v>
      </c>
      <c r="F23" s="1412">
        <f>H23/E23-1</f>
        <v>0.11923708711011249</v>
      </c>
      <c r="G23" s="1411">
        <f>SUM(G17:G22)</f>
        <v>1576.0289999999998</v>
      </c>
      <c r="H23" s="1413">
        <f>SUM(H17:H22)</f>
        <v>1620.2769999999998</v>
      </c>
      <c r="I23" s="1411"/>
      <c r="J23" s="1411">
        <f>SUM(J18,J19,J20,J21,J22)</f>
        <v>108.9</v>
      </c>
      <c r="K23" s="1413">
        <f>SUM(K18,K19,K20,K21,K22)</f>
        <v>108.176</v>
      </c>
      <c r="L23" s="1413">
        <f t="shared" ref="L23:M23" si="9">SUM(L18,L19,L20,L21,L22)</f>
        <v>104.476</v>
      </c>
      <c r="M23" s="1413">
        <f t="shared" si="9"/>
        <v>108.776</v>
      </c>
      <c r="N23" s="2492"/>
      <c r="O23" s="2395"/>
      <c r="P23" s="2342"/>
      <c r="Q23" s="2342"/>
      <c r="R23" s="2342"/>
      <c r="S23" s="2342"/>
      <c r="T23" s="2342"/>
      <c r="U23" s="2344"/>
      <c r="V23" s="2780"/>
    </row>
    <row r="24" spans="1:22" ht="25.5" hidden="1" customHeight="1">
      <c r="A24" s="2787"/>
      <c r="B24" s="2744" t="s">
        <v>1209</v>
      </c>
      <c r="C24" s="2785" t="s">
        <v>1382</v>
      </c>
      <c r="D24" s="1400" t="s">
        <v>471</v>
      </c>
      <c r="E24" s="1068">
        <v>375.84</v>
      </c>
      <c r="F24" s="1394">
        <f>H24/E24-1</f>
        <v>0.1284057045551299</v>
      </c>
      <c r="G24" s="1068">
        <v>391.29</v>
      </c>
      <c r="H24" s="989">
        <f>424.4-0.3</f>
        <v>424.09999999999997</v>
      </c>
      <c r="I24" s="989"/>
      <c r="J24" s="1068">
        <v>473.59</v>
      </c>
      <c r="K24" s="989">
        <v>482.14</v>
      </c>
      <c r="L24" s="989">
        <v>483.31</v>
      </c>
      <c r="M24" s="989">
        <v>506.55</v>
      </c>
      <c r="N24" s="1327"/>
      <c r="O24" s="2812"/>
      <c r="P24" s="2813"/>
      <c r="Q24" s="2813"/>
      <c r="R24" s="2813"/>
      <c r="S24" s="2813"/>
      <c r="T24" s="2813"/>
      <c r="U24" s="2813"/>
      <c r="V24" s="2814"/>
    </row>
    <row r="25" spans="1:22" ht="25.5" hidden="1" customHeight="1">
      <c r="A25" s="2788"/>
      <c r="B25" s="2784"/>
      <c r="C25" s="2786"/>
      <c r="D25" s="1400" t="s">
        <v>1389</v>
      </c>
      <c r="E25" s="1068">
        <v>1.2</v>
      </c>
      <c r="F25" s="1394">
        <f>H25/E25-1</f>
        <v>0.58333333333333326</v>
      </c>
      <c r="G25" s="1068">
        <v>1.4</v>
      </c>
      <c r="H25" s="989">
        <v>1.9</v>
      </c>
      <c r="I25" s="1068"/>
      <c r="J25" s="1068">
        <v>1.9</v>
      </c>
      <c r="K25" s="989">
        <v>1.9</v>
      </c>
      <c r="L25" s="989">
        <v>2.2999999999999998</v>
      </c>
      <c r="M25" s="989">
        <v>2.8</v>
      </c>
      <c r="N25" s="1327"/>
      <c r="O25" s="2815"/>
      <c r="P25" s="2816"/>
      <c r="Q25" s="2816"/>
      <c r="R25" s="2816"/>
      <c r="S25" s="2816"/>
      <c r="T25" s="2816"/>
      <c r="U25" s="2816"/>
      <c r="V25" s="2817"/>
    </row>
    <row r="26" spans="1:22" ht="25.5" hidden="1" customHeight="1">
      <c r="A26" s="2788"/>
      <c r="B26" s="2784"/>
      <c r="C26" s="2786"/>
      <c r="D26" s="1400" t="s">
        <v>1122</v>
      </c>
      <c r="E26" s="1068">
        <v>23.091999999999999</v>
      </c>
      <c r="F26" s="1394">
        <f>H26/E26-1</f>
        <v>0.10358565737051806</v>
      </c>
      <c r="G26" s="1068">
        <v>23.78</v>
      </c>
      <c r="H26" s="989">
        <v>25.484000000000002</v>
      </c>
      <c r="I26" s="1068"/>
      <c r="J26" s="1068">
        <v>26</v>
      </c>
      <c r="K26" s="989">
        <v>25.276</v>
      </c>
      <c r="L26" s="989">
        <v>25.276</v>
      </c>
      <c r="M26" s="989">
        <v>25.276</v>
      </c>
      <c r="N26" s="1327"/>
      <c r="O26" s="2815"/>
      <c r="P26" s="2816"/>
      <c r="Q26" s="2816"/>
      <c r="R26" s="2816"/>
      <c r="S26" s="2816"/>
      <c r="T26" s="2816"/>
      <c r="U26" s="2816"/>
      <c r="V26" s="2817"/>
    </row>
    <row r="27" spans="1:22" ht="25.5" hidden="1" customHeight="1">
      <c r="A27" s="2788"/>
      <c r="B27" s="2784"/>
      <c r="C27" s="2786"/>
      <c r="D27" s="1400" t="s">
        <v>246</v>
      </c>
      <c r="E27" s="1068"/>
      <c r="F27" s="1394"/>
      <c r="G27" s="1068"/>
      <c r="H27" s="989"/>
      <c r="I27" s="1068"/>
      <c r="J27" s="1068"/>
      <c r="K27" s="989"/>
      <c r="L27" s="989"/>
      <c r="M27" s="989"/>
      <c r="N27" s="1327"/>
      <c r="O27" s="2815"/>
      <c r="P27" s="2816"/>
      <c r="Q27" s="2816"/>
      <c r="R27" s="2816"/>
      <c r="S27" s="2816"/>
      <c r="T27" s="2816"/>
      <c r="U27" s="2816"/>
      <c r="V27" s="2817"/>
    </row>
    <row r="28" spans="1:22" ht="25.5" hidden="1" customHeight="1">
      <c r="A28" s="2788"/>
      <c r="B28" s="2784"/>
      <c r="C28" s="2786"/>
      <c r="D28" s="1417" t="s">
        <v>712</v>
      </c>
      <c r="E28" s="1068"/>
      <c r="F28" s="1394"/>
      <c r="G28" s="1068"/>
      <c r="H28" s="989"/>
      <c r="I28" s="1068"/>
      <c r="J28" s="1068"/>
      <c r="K28" s="989"/>
      <c r="L28" s="989"/>
      <c r="M28" s="989"/>
      <c r="N28" s="1327"/>
      <c r="O28" s="2815"/>
      <c r="P28" s="2816"/>
      <c r="Q28" s="2816"/>
      <c r="R28" s="2816"/>
      <c r="S28" s="2816"/>
      <c r="T28" s="2816"/>
      <c r="U28" s="2816"/>
      <c r="V28" s="2817"/>
    </row>
    <row r="29" spans="1:22" ht="25.5" hidden="1" customHeight="1">
      <c r="A29" s="2788"/>
      <c r="B29" s="2784"/>
      <c r="C29" s="2786"/>
      <c r="D29" s="1418" t="s">
        <v>1076</v>
      </c>
      <c r="E29" s="1419">
        <f>SUM(E24:E28)</f>
        <v>400.13199999999995</v>
      </c>
      <c r="F29" s="1420">
        <f>H29/E29-1</f>
        <v>0.12833764857596996</v>
      </c>
      <c r="G29" s="1419">
        <f t="shared" ref="G29" si="10">SUM(G24:G28)</f>
        <v>416.47</v>
      </c>
      <c r="H29" s="1421">
        <f>SUM(H24:H28)</f>
        <v>451.48399999999992</v>
      </c>
      <c r="I29" s="1419"/>
      <c r="J29" s="1419">
        <f>SUM(J24:J28)</f>
        <v>501.48999999999995</v>
      </c>
      <c r="K29" s="1421">
        <f t="shared" ref="K29:M29" si="11">SUM(K24:K28)</f>
        <v>509.31599999999997</v>
      </c>
      <c r="L29" s="1421">
        <f t="shared" si="11"/>
        <v>510.88600000000002</v>
      </c>
      <c r="M29" s="1421">
        <f t="shared" si="11"/>
        <v>534.62599999999998</v>
      </c>
      <c r="N29" s="698"/>
      <c r="O29" s="2815"/>
      <c r="P29" s="2816"/>
      <c r="Q29" s="2816"/>
      <c r="R29" s="2816"/>
      <c r="S29" s="2816"/>
      <c r="T29" s="2816"/>
      <c r="U29" s="2816"/>
      <c r="V29" s="2817"/>
    </row>
    <row r="30" spans="1:22" ht="25.5" hidden="1" customHeight="1">
      <c r="A30" s="2787"/>
      <c r="B30" s="2744" t="s">
        <v>1210</v>
      </c>
      <c r="C30" s="2785" t="s">
        <v>1383</v>
      </c>
      <c r="D30" s="1400" t="s">
        <v>471</v>
      </c>
      <c r="E30" s="1068">
        <v>992.9</v>
      </c>
      <c r="F30" s="1394">
        <f t="shared" ref="F30:F31" si="12">H30/E30-1</f>
        <v>9.2808943498841723E-2</v>
      </c>
      <c r="G30" s="1068">
        <v>1103.3589999999999</v>
      </c>
      <c r="H30" s="989">
        <v>1085.05</v>
      </c>
      <c r="I30" s="1068"/>
      <c r="J30" s="1068">
        <v>1312.65</v>
      </c>
      <c r="K30" s="989">
        <v>1172.45</v>
      </c>
      <c r="L30" s="989">
        <v>1175.07</v>
      </c>
      <c r="M30" s="989">
        <v>1231.1099999999999</v>
      </c>
      <c r="N30" s="1327"/>
      <c r="O30" s="2815"/>
      <c r="P30" s="2816"/>
      <c r="Q30" s="2816"/>
      <c r="R30" s="2816"/>
      <c r="S30" s="2816"/>
      <c r="T30" s="2816"/>
      <c r="U30" s="2816"/>
      <c r="V30" s="2817"/>
    </row>
    <row r="31" spans="1:22" ht="25.5" hidden="1" customHeight="1">
      <c r="A31" s="2788"/>
      <c r="B31" s="2784"/>
      <c r="C31" s="2786"/>
      <c r="D31" s="1400" t="s">
        <v>1389</v>
      </c>
      <c r="E31" s="1068">
        <v>54.63</v>
      </c>
      <c r="F31" s="1394">
        <f t="shared" si="12"/>
        <v>0.15321252059308077</v>
      </c>
      <c r="G31" s="1068">
        <v>40.200000000000003</v>
      </c>
      <c r="H31" s="989">
        <f>63</f>
        <v>63</v>
      </c>
      <c r="I31" s="1068"/>
      <c r="J31" s="1068">
        <v>47</v>
      </c>
      <c r="K31" s="989">
        <v>47</v>
      </c>
      <c r="L31" s="989">
        <v>50.9</v>
      </c>
      <c r="M31" s="989">
        <v>54.7</v>
      </c>
      <c r="N31" s="1327"/>
      <c r="O31" s="2815"/>
      <c r="P31" s="2816"/>
      <c r="Q31" s="2816"/>
      <c r="R31" s="2816"/>
      <c r="S31" s="2816"/>
      <c r="T31" s="2816"/>
      <c r="U31" s="2816"/>
      <c r="V31" s="2817"/>
    </row>
    <row r="32" spans="1:22" ht="25.5" hidden="1" customHeight="1">
      <c r="A32" s="2788"/>
      <c r="B32" s="2784"/>
      <c r="C32" s="2786"/>
      <c r="D32" s="1400" t="s">
        <v>2930</v>
      </c>
      <c r="E32" s="1068">
        <v>54.63</v>
      </c>
      <c r="F32" s="1394">
        <f t="shared" ref="F32" si="13">H32/E32-1</f>
        <v>-0.91317957166392094</v>
      </c>
      <c r="G32" s="1068">
        <v>40.200000000000003</v>
      </c>
      <c r="H32" s="989">
        <v>4.7430000000000003</v>
      </c>
      <c r="I32" s="1068"/>
      <c r="J32" s="1068"/>
      <c r="K32" s="989"/>
      <c r="L32" s="989"/>
      <c r="M32" s="989"/>
      <c r="N32" s="1327"/>
      <c r="O32" s="2815"/>
      <c r="P32" s="2816"/>
      <c r="Q32" s="2816"/>
      <c r="R32" s="2816"/>
      <c r="S32" s="2816"/>
      <c r="T32" s="2816"/>
      <c r="U32" s="2816"/>
      <c r="V32" s="2817"/>
    </row>
    <row r="33" spans="1:22" ht="25.5" hidden="1" customHeight="1">
      <c r="A33" s="2788"/>
      <c r="B33" s="2784"/>
      <c r="C33" s="2786"/>
      <c r="D33" s="1400" t="s">
        <v>1122</v>
      </c>
      <c r="E33" s="1068"/>
      <c r="F33" s="1394"/>
      <c r="G33" s="1068"/>
      <c r="H33" s="989"/>
      <c r="I33" s="1068"/>
      <c r="J33" s="1068"/>
      <c r="K33" s="989"/>
      <c r="L33" s="989"/>
      <c r="M33" s="1422"/>
      <c r="N33" s="1327"/>
      <c r="O33" s="2815"/>
      <c r="P33" s="2816"/>
      <c r="Q33" s="2816"/>
      <c r="R33" s="2816"/>
      <c r="S33" s="2816"/>
      <c r="T33" s="2816"/>
      <c r="U33" s="2816"/>
      <c r="V33" s="2817"/>
    </row>
    <row r="34" spans="1:22" ht="25.5" hidden="1" customHeight="1">
      <c r="A34" s="2788"/>
      <c r="B34" s="2784"/>
      <c r="C34" s="2786"/>
      <c r="D34" s="1400" t="s">
        <v>246</v>
      </c>
      <c r="E34" s="1068"/>
      <c r="F34" s="1394"/>
      <c r="G34" s="1068"/>
      <c r="H34" s="989"/>
      <c r="I34" s="1068"/>
      <c r="J34" s="1068"/>
      <c r="K34" s="989"/>
      <c r="L34" s="989"/>
      <c r="M34" s="989"/>
      <c r="N34" s="1327"/>
      <c r="O34" s="2815"/>
      <c r="P34" s="2816"/>
      <c r="Q34" s="2816"/>
      <c r="R34" s="2816"/>
      <c r="S34" s="2816"/>
      <c r="T34" s="2816"/>
      <c r="U34" s="2816"/>
      <c r="V34" s="2817"/>
    </row>
    <row r="35" spans="1:22" ht="25.5" hidden="1" customHeight="1">
      <c r="A35" s="2788"/>
      <c r="B35" s="2784"/>
      <c r="C35" s="2786"/>
      <c r="D35" s="1417" t="s">
        <v>712</v>
      </c>
      <c r="E35" s="1068"/>
      <c r="F35" s="1394"/>
      <c r="G35" s="1068">
        <v>16</v>
      </c>
      <c r="H35" s="989">
        <v>16</v>
      </c>
      <c r="I35" s="1068"/>
      <c r="J35" s="1068">
        <v>34</v>
      </c>
      <c r="K35" s="989">
        <v>34</v>
      </c>
      <c r="L35" s="989">
        <v>26</v>
      </c>
      <c r="M35" s="989">
        <v>26</v>
      </c>
      <c r="N35" s="1327"/>
      <c r="O35" s="2815"/>
      <c r="P35" s="2816"/>
      <c r="Q35" s="2816"/>
      <c r="R35" s="2816"/>
      <c r="S35" s="2816"/>
      <c r="T35" s="2816"/>
      <c r="U35" s="2816"/>
      <c r="V35" s="2817"/>
    </row>
    <row r="36" spans="1:22" ht="25.5" hidden="1" customHeight="1">
      <c r="A36" s="2788"/>
      <c r="B36" s="2784"/>
      <c r="C36" s="2786"/>
      <c r="D36" s="1418" t="s">
        <v>1076</v>
      </c>
      <c r="E36" s="1406">
        <f>SUM(E30:E35)</f>
        <v>1102.1600000000001</v>
      </c>
      <c r="F36" s="1423">
        <f t="shared" ref="F36:F43" si="14">H36/E36-1</f>
        <v>6.0456739493358391E-2</v>
      </c>
      <c r="G36" s="1406">
        <f t="shared" ref="G36" si="15">SUM(G30:G35)</f>
        <v>1199.759</v>
      </c>
      <c r="H36" s="1405">
        <f>SUM(H30:H35)</f>
        <v>1168.7929999999999</v>
      </c>
      <c r="I36" s="1406"/>
      <c r="J36" s="1406">
        <f>SUM(J30:J35)</f>
        <v>1393.65</v>
      </c>
      <c r="K36" s="1405">
        <f t="shared" ref="K36:M36" si="16">SUM(K30:K35)</f>
        <v>1253.45</v>
      </c>
      <c r="L36" s="1405">
        <f t="shared" si="16"/>
        <v>1251.97</v>
      </c>
      <c r="M36" s="1405">
        <f t="shared" si="16"/>
        <v>1311.81</v>
      </c>
      <c r="N36" s="1327"/>
      <c r="O36" s="2818"/>
      <c r="P36" s="2819"/>
      <c r="Q36" s="2819"/>
      <c r="R36" s="2819"/>
      <c r="S36" s="2819"/>
      <c r="T36" s="2819"/>
      <c r="U36" s="2819"/>
      <c r="V36" s="2820"/>
    </row>
    <row r="37" spans="1:22" ht="25.5" customHeight="1">
      <c r="A37" s="2746" t="s">
        <v>2068</v>
      </c>
      <c r="B37" s="2355" t="s">
        <v>1192</v>
      </c>
      <c r="C37" s="2783" t="s">
        <v>1208</v>
      </c>
      <c r="D37" s="1360" t="s">
        <v>471</v>
      </c>
      <c r="E37" s="1099">
        <v>76</v>
      </c>
      <c r="F37" s="1424">
        <f t="shared" si="14"/>
        <v>0.31578947368421062</v>
      </c>
      <c r="G37" s="1099">
        <v>169.67</v>
      </c>
      <c r="H37" s="1100">
        <v>100</v>
      </c>
      <c r="I37" s="1099"/>
      <c r="J37" s="1099">
        <v>0</v>
      </c>
      <c r="K37" s="1100">
        <f>SUM(K39,K40)</f>
        <v>125</v>
      </c>
      <c r="L37" s="1100">
        <f t="shared" ref="L37:M37" si="17">SUM(L39,L40)</f>
        <v>125</v>
      </c>
      <c r="M37" s="1100">
        <f t="shared" si="17"/>
        <v>125</v>
      </c>
      <c r="N37" s="2490" t="s">
        <v>2312</v>
      </c>
      <c r="O37" s="2395" t="s">
        <v>4235</v>
      </c>
      <c r="P37" s="2342" t="s">
        <v>1364</v>
      </c>
      <c r="Q37" s="2342" t="s">
        <v>1948</v>
      </c>
      <c r="R37" s="2342" t="s">
        <v>1363</v>
      </c>
      <c r="S37" s="2342" t="s">
        <v>1363</v>
      </c>
      <c r="T37" s="2342" t="s">
        <v>1363</v>
      </c>
      <c r="U37" s="2343" t="s">
        <v>1363</v>
      </c>
      <c r="V37" s="2778" t="s">
        <v>2313</v>
      </c>
    </row>
    <row r="38" spans="1:22" ht="74.25" customHeight="1">
      <c r="A38" s="2807"/>
      <c r="B38" s="2354"/>
      <c r="C38" s="2754"/>
      <c r="D38" s="1152" t="s">
        <v>1076</v>
      </c>
      <c r="E38" s="1088">
        <f>E37</f>
        <v>76</v>
      </c>
      <c r="F38" s="1407">
        <f t="shared" si="14"/>
        <v>0.31578947368421062</v>
      </c>
      <c r="G38" s="1088">
        <f t="shared" ref="G38" si="18">G37</f>
        <v>169.67</v>
      </c>
      <c r="H38" s="1089">
        <f t="shared" ref="H38" si="19">H37</f>
        <v>100</v>
      </c>
      <c r="I38" s="1088"/>
      <c r="J38" s="1088">
        <f>J37</f>
        <v>0</v>
      </c>
      <c r="K38" s="1059">
        <f t="shared" ref="K38:M38" si="20">K37</f>
        <v>125</v>
      </c>
      <c r="L38" s="1059">
        <f t="shared" si="20"/>
        <v>125</v>
      </c>
      <c r="M38" s="1059">
        <f t="shared" si="20"/>
        <v>125</v>
      </c>
      <c r="N38" s="2492"/>
      <c r="O38" s="2396"/>
      <c r="P38" s="2342"/>
      <c r="Q38" s="2342"/>
      <c r="R38" s="2342"/>
      <c r="S38" s="2342"/>
      <c r="T38" s="2342"/>
      <c r="U38" s="2344"/>
      <c r="V38" s="2780"/>
    </row>
    <row r="39" spans="1:22" ht="25.5" hidden="1" customHeight="1">
      <c r="A39" s="1370"/>
      <c r="B39" s="1014" t="s">
        <v>3904</v>
      </c>
      <c r="C39" s="1425"/>
      <c r="D39" s="1426"/>
      <c r="E39" s="1135"/>
      <c r="F39" s="1427"/>
      <c r="G39" s="1135"/>
      <c r="H39" s="1134"/>
      <c r="I39" s="1135"/>
      <c r="J39" s="1135"/>
      <c r="K39" s="989">
        <v>115</v>
      </c>
      <c r="L39" s="985">
        <v>115</v>
      </c>
      <c r="M39" s="989">
        <v>115</v>
      </c>
      <c r="N39" s="760"/>
      <c r="O39" s="1428" t="s">
        <v>3905</v>
      </c>
      <c r="P39" s="1032"/>
      <c r="Q39" s="1032"/>
      <c r="R39" s="1032"/>
      <c r="S39" s="1032"/>
      <c r="T39" s="1032"/>
      <c r="U39" s="1032"/>
      <c r="V39" s="1429"/>
    </row>
    <row r="40" spans="1:22" ht="25.5" hidden="1" customHeight="1">
      <c r="A40" s="1430"/>
      <c r="B40" s="1014" t="s">
        <v>3554</v>
      </c>
      <c r="C40" s="1425"/>
      <c r="D40" s="1426"/>
      <c r="E40" s="1135"/>
      <c r="F40" s="1427"/>
      <c r="G40" s="1135"/>
      <c r="H40" s="1134"/>
      <c r="I40" s="1135"/>
      <c r="J40" s="1135"/>
      <c r="K40" s="989">
        <v>10</v>
      </c>
      <c r="L40" s="985">
        <v>10</v>
      </c>
      <c r="M40" s="989">
        <v>10</v>
      </c>
      <c r="N40" s="760"/>
      <c r="O40" s="1428" t="s">
        <v>3906</v>
      </c>
      <c r="P40" s="1032"/>
      <c r="Q40" s="1032"/>
      <c r="R40" s="1032"/>
      <c r="S40" s="1032"/>
      <c r="T40" s="1032"/>
      <c r="U40" s="1032"/>
      <c r="V40" s="1429"/>
    </row>
    <row r="41" spans="1:22" s="193" customFormat="1" ht="132" customHeight="1">
      <c r="A41" s="1366" t="s">
        <v>2069</v>
      </c>
      <c r="B41" s="970" t="s">
        <v>2070</v>
      </c>
      <c r="C41" s="1367"/>
      <c r="D41" s="1017"/>
      <c r="E41" s="1094">
        <f>SUM(E43,E49,E54,E58)</f>
        <v>22.4</v>
      </c>
      <c r="F41" s="1368">
        <f t="shared" si="14"/>
        <v>0.83035714285714302</v>
      </c>
      <c r="G41" s="1094">
        <f t="shared" ref="G41:L41" si="21">SUM(G43,G49,G54,G58)</f>
        <v>61.971999999999994</v>
      </c>
      <c r="H41" s="1095">
        <f>SUM(H43,H49,H54,H58)</f>
        <v>41</v>
      </c>
      <c r="I41" s="1094"/>
      <c r="J41" s="1094">
        <f>SUM(J43,J49,J54,J58)</f>
        <v>21.6</v>
      </c>
      <c r="K41" s="1095">
        <f t="shared" si="21"/>
        <v>15.35</v>
      </c>
      <c r="L41" s="1097">
        <f t="shared" si="21"/>
        <v>36.700000000000003</v>
      </c>
      <c r="M41" s="1095">
        <f>SUM(M43,M49,M54,M58)</f>
        <v>15.8</v>
      </c>
      <c r="N41" s="1476" t="s">
        <v>920</v>
      </c>
      <c r="O41" s="1097"/>
      <c r="P41" s="1007" t="s">
        <v>1355</v>
      </c>
      <c r="Q41" s="1007" t="s">
        <v>922</v>
      </c>
      <c r="R41" s="1007" t="s">
        <v>1366</v>
      </c>
      <c r="S41" s="1007" t="s">
        <v>1366</v>
      </c>
      <c r="T41" s="1007" t="s">
        <v>1366</v>
      </c>
      <c r="U41" s="1007" t="s">
        <v>1366</v>
      </c>
      <c r="V41" s="970" t="s">
        <v>922</v>
      </c>
    </row>
    <row r="42" spans="1:22" ht="25.5" customHeight="1">
      <c r="A42" s="2739" t="s">
        <v>2071</v>
      </c>
      <c r="B42" s="2724" t="s">
        <v>1193</v>
      </c>
      <c r="C42" s="2722" t="s">
        <v>1080</v>
      </c>
      <c r="D42" s="1082" t="s">
        <v>471</v>
      </c>
      <c r="E42" s="1051">
        <f>SUM(E44:E47)</f>
        <v>12</v>
      </c>
      <c r="F42" s="1362">
        <f t="shared" si="14"/>
        <v>0.375</v>
      </c>
      <c r="G42" s="1051">
        <f>SUM(G44:G47)</f>
        <v>30.751999999999999</v>
      </c>
      <c r="H42" s="1053">
        <v>16.5</v>
      </c>
      <c r="I42" s="1051"/>
      <c r="J42" s="1051"/>
      <c r="K42" s="1053">
        <f>SUM(K44,K45,K46,K47)</f>
        <v>0</v>
      </c>
      <c r="L42" s="1053">
        <f t="shared" ref="L42:M42" si="22">SUM(L44,L45,L46,L47)</f>
        <v>1.5</v>
      </c>
      <c r="M42" s="1053">
        <f t="shared" si="22"/>
        <v>0.5</v>
      </c>
      <c r="N42" s="2490" t="s">
        <v>2314</v>
      </c>
      <c r="O42" s="2349" t="s">
        <v>3907</v>
      </c>
      <c r="P42" s="2344" t="s">
        <v>1372</v>
      </c>
      <c r="Q42" s="2776" t="s">
        <v>2984</v>
      </c>
      <c r="R42" s="2776" t="s">
        <v>1366</v>
      </c>
      <c r="S42" s="2776" t="s">
        <v>434</v>
      </c>
      <c r="T42" s="2776" t="s">
        <v>434</v>
      </c>
      <c r="U42" s="3758" t="s">
        <v>434</v>
      </c>
      <c r="V42" s="2343" t="s">
        <v>2315</v>
      </c>
    </row>
    <row r="43" spans="1:22" ht="25.5" customHeight="1">
      <c r="A43" s="2739"/>
      <c r="B43" s="2724"/>
      <c r="C43" s="2722"/>
      <c r="D43" s="1083" t="s">
        <v>1076</v>
      </c>
      <c r="E43" s="1057">
        <f>E42</f>
        <v>12</v>
      </c>
      <c r="F43" s="1412">
        <f t="shared" si="14"/>
        <v>0.375</v>
      </c>
      <c r="G43" s="1057">
        <f>SUM(G42)</f>
        <v>30.751999999999999</v>
      </c>
      <c r="H43" s="1059">
        <f>SUM(H42)</f>
        <v>16.5</v>
      </c>
      <c r="I43" s="1057"/>
      <c r="J43" s="1057"/>
      <c r="K43" s="1059">
        <f t="shared" ref="K43:L43" si="23">SUM(K42)</f>
        <v>0</v>
      </c>
      <c r="L43" s="1059">
        <f t="shared" si="23"/>
        <v>1.5</v>
      </c>
      <c r="M43" s="1059">
        <v>0</v>
      </c>
      <c r="N43" s="2492"/>
      <c r="O43" s="2401"/>
      <c r="P43" s="2342"/>
      <c r="Q43" s="2777"/>
      <c r="R43" s="2777"/>
      <c r="S43" s="2777"/>
      <c r="T43" s="2777"/>
      <c r="U43" s="3759"/>
      <c r="V43" s="2344"/>
    </row>
    <row r="44" spans="1:22" ht="25.5" hidden="1" customHeight="1">
      <c r="A44" s="1364"/>
      <c r="B44" s="1392" t="s">
        <v>1390</v>
      </c>
      <c r="C44" s="1393"/>
      <c r="D44" s="1431"/>
      <c r="E44" s="1068"/>
      <c r="F44" s="1432"/>
      <c r="G44" s="1068">
        <v>7</v>
      </c>
      <c r="H44" s="989">
        <v>2</v>
      </c>
      <c r="I44" s="1068"/>
      <c r="J44" s="1068"/>
      <c r="K44" s="989"/>
      <c r="L44" s="989"/>
      <c r="M44" s="989"/>
      <c r="N44" s="1327"/>
      <c r="O44" s="989"/>
      <c r="P44" s="988"/>
      <c r="Q44" s="1014"/>
      <c r="R44" s="1014"/>
      <c r="S44" s="1014"/>
      <c r="T44" s="1014"/>
      <c r="U44" s="1014"/>
      <c r="V44" s="1011"/>
    </row>
    <row r="45" spans="1:22" ht="25.5" hidden="1" customHeight="1">
      <c r="A45" s="1364"/>
      <c r="B45" s="1392" t="s">
        <v>1391</v>
      </c>
      <c r="C45" s="1393"/>
      <c r="D45" s="1431"/>
      <c r="E45" s="1068">
        <v>1</v>
      </c>
      <c r="F45" s="1432">
        <f t="shared" ref="F45:F49" si="24">H45/E45-1</f>
        <v>3</v>
      </c>
      <c r="G45" s="1068">
        <v>5</v>
      </c>
      <c r="H45" s="989">
        <v>4</v>
      </c>
      <c r="I45" s="1068"/>
      <c r="J45" s="1068"/>
      <c r="K45" s="989">
        <v>0</v>
      </c>
      <c r="L45" s="989">
        <v>0.5</v>
      </c>
      <c r="M45" s="989">
        <v>0.5</v>
      </c>
      <c r="N45" s="1327"/>
      <c r="O45" s="1009"/>
      <c r="P45" s="988"/>
      <c r="Q45" s="1014"/>
      <c r="R45" s="1014"/>
      <c r="S45" s="1014"/>
      <c r="T45" s="1014"/>
      <c r="U45" s="1014"/>
      <c r="V45" s="1011"/>
    </row>
    <row r="46" spans="1:22" ht="25.5" hidden="1" customHeight="1">
      <c r="A46" s="1364"/>
      <c r="B46" s="1392" t="s">
        <v>1392</v>
      </c>
      <c r="C46" s="1393"/>
      <c r="D46" s="1431"/>
      <c r="E46" s="1068"/>
      <c r="F46" s="1432"/>
      <c r="G46" s="1068"/>
      <c r="H46" s="989"/>
      <c r="I46" s="1068"/>
      <c r="J46" s="1068"/>
      <c r="K46" s="989"/>
      <c r="L46" s="989"/>
      <c r="M46" s="989"/>
      <c r="N46" s="1327"/>
      <c r="O46" s="1009"/>
      <c r="P46" s="988"/>
      <c r="Q46" s="1014"/>
      <c r="R46" s="1014"/>
      <c r="S46" s="1014"/>
      <c r="T46" s="1014"/>
      <c r="U46" s="1014"/>
      <c r="V46" s="1011"/>
    </row>
    <row r="47" spans="1:22" ht="25.5" hidden="1" customHeight="1">
      <c r="A47" s="1364"/>
      <c r="B47" s="1392" t="s">
        <v>1393</v>
      </c>
      <c r="C47" s="1393"/>
      <c r="D47" s="1431"/>
      <c r="E47" s="1068">
        <v>11</v>
      </c>
      <c r="F47" s="1432">
        <f t="shared" si="24"/>
        <v>-4.5454545454545414E-2</v>
      </c>
      <c r="G47" s="1068">
        <v>18.751999999999999</v>
      </c>
      <c r="H47" s="989">
        <v>10.5</v>
      </c>
      <c r="I47" s="1068"/>
      <c r="J47" s="1068"/>
      <c r="K47" s="989"/>
      <c r="L47" s="989">
        <v>1</v>
      </c>
      <c r="M47" s="989"/>
      <c r="N47" s="1327"/>
      <c r="O47" s="1009"/>
      <c r="P47" s="988"/>
      <c r="Q47" s="1014"/>
      <c r="R47" s="1014"/>
      <c r="S47" s="1014"/>
      <c r="T47" s="1014"/>
      <c r="U47" s="1014"/>
      <c r="V47" s="1011"/>
    </row>
    <row r="48" spans="1:22" ht="25.5" customHeight="1">
      <c r="A48" s="2739" t="s">
        <v>2072</v>
      </c>
      <c r="B48" s="2724" t="s">
        <v>1194</v>
      </c>
      <c r="C48" s="2722" t="s">
        <v>1080</v>
      </c>
      <c r="D48" s="1082" t="s">
        <v>471</v>
      </c>
      <c r="E48" s="1051">
        <f>SUM(E50:E52)</f>
        <v>1.5</v>
      </c>
      <c r="F48" s="1361">
        <f t="shared" si="24"/>
        <v>7.5333333333333332</v>
      </c>
      <c r="G48" s="1051">
        <f>SUM(G50:G52)</f>
        <v>16.75</v>
      </c>
      <c r="H48" s="1053">
        <f>SUM(H50:H52)</f>
        <v>12.8</v>
      </c>
      <c r="I48" s="1051">
        <f t="shared" ref="I48:J48" si="25">SUM(I50:I52)</f>
        <v>0</v>
      </c>
      <c r="J48" s="1051">
        <f t="shared" si="25"/>
        <v>21.6</v>
      </c>
      <c r="K48" s="1053">
        <f>SUM(K50,K51,K52)</f>
        <v>3.3499999999999996</v>
      </c>
      <c r="L48" s="1053">
        <f t="shared" ref="L48:M48" si="26">SUM(L50,L51,L52)</f>
        <v>23.2</v>
      </c>
      <c r="M48" s="1053">
        <f t="shared" si="26"/>
        <v>3.8</v>
      </c>
      <c r="N48" s="2476" t="s">
        <v>2314</v>
      </c>
      <c r="O48" s="2395" t="s">
        <v>3908</v>
      </c>
      <c r="P48" s="2344" t="s">
        <v>1356</v>
      </c>
      <c r="Q48" s="2343" t="s">
        <v>1365</v>
      </c>
      <c r="R48" s="2343" t="s">
        <v>404</v>
      </c>
      <c r="S48" s="2343" t="s">
        <v>404</v>
      </c>
      <c r="T48" s="2343" t="s">
        <v>404</v>
      </c>
      <c r="U48" s="2343" t="s">
        <v>404</v>
      </c>
      <c r="V48" s="2343" t="s">
        <v>2315</v>
      </c>
    </row>
    <row r="49" spans="1:22" ht="62.25" customHeight="1">
      <c r="A49" s="2739"/>
      <c r="B49" s="2725"/>
      <c r="C49" s="2723"/>
      <c r="D49" s="1087" t="s">
        <v>1076</v>
      </c>
      <c r="E49" s="1088">
        <f>E48</f>
        <v>1.5</v>
      </c>
      <c r="F49" s="1412">
        <f t="shared" si="24"/>
        <v>7.5333333333333332</v>
      </c>
      <c r="G49" s="1088">
        <f>G48</f>
        <v>16.75</v>
      </c>
      <c r="H49" s="1089">
        <f>H48</f>
        <v>12.8</v>
      </c>
      <c r="I49" s="1088">
        <f t="shared" ref="I49:M49" si="27">I48</f>
        <v>0</v>
      </c>
      <c r="J49" s="1088">
        <f t="shared" si="27"/>
        <v>21.6</v>
      </c>
      <c r="K49" s="1089">
        <f t="shared" si="27"/>
        <v>3.3499999999999996</v>
      </c>
      <c r="L49" s="1089">
        <f t="shared" si="27"/>
        <v>23.2</v>
      </c>
      <c r="M49" s="1089">
        <f t="shared" si="27"/>
        <v>3.8</v>
      </c>
      <c r="N49" s="2476"/>
      <c r="O49" s="2503"/>
      <c r="P49" s="2342"/>
      <c r="Q49" s="2345"/>
      <c r="R49" s="2345"/>
      <c r="S49" s="2345"/>
      <c r="T49" s="2345"/>
      <c r="U49" s="2345"/>
      <c r="V49" s="2345"/>
    </row>
    <row r="50" spans="1:22" ht="25.5" hidden="1" customHeight="1">
      <c r="A50" s="1364"/>
      <c r="B50" s="1397" t="s">
        <v>1390</v>
      </c>
      <c r="C50" s="1076"/>
      <c r="D50" s="1141"/>
      <c r="E50" s="1398"/>
      <c r="F50" s="1432"/>
      <c r="G50" s="1398"/>
      <c r="H50" s="993">
        <v>1.2</v>
      </c>
      <c r="I50" s="1068"/>
      <c r="J50" s="1068"/>
      <c r="K50" s="989">
        <v>1.5</v>
      </c>
      <c r="L50" s="989">
        <v>1.5</v>
      </c>
      <c r="M50" s="989">
        <v>1.5</v>
      </c>
      <c r="N50" s="1327"/>
      <c r="O50" s="989"/>
      <c r="P50" s="988"/>
      <c r="Q50" s="2345"/>
      <c r="R50" s="2345"/>
      <c r="S50" s="2345"/>
      <c r="T50" s="2345"/>
      <c r="U50" s="2345"/>
      <c r="V50" s="2345"/>
    </row>
    <row r="51" spans="1:22" ht="25.5" hidden="1" customHeight="1">
      <c r="A51" s="1364"/>
      <c r="B51" s="1397" t="s">
        <v>1392</v>
      </c>
      <c r="C51" s="1076"/>
      <c r="D51" s="1141"/>
      <c r="E51" s="1398"/>
      <c r="F51" s="1432"/>
      <c r="G51" s="1398">
        <v>0.45</v>
      </c>
      <c r="H51" s="993">
        <v>0.3</v>
      </c>
      <c r="I51" s="1068"/>
      <c r="J51" s="1068">
        <v>0.6</v>
      </c>
      <c r="K51" s="989">
        <v>0.4</v>
      </c>
      <c r="L51" s="989">
        <v>0.4</v>
      </c>
      <c r="M51" s="989">
        <v>0.4</v>
      </c>
      <c r="N51" s="1327"/>
      <c r="O51" s="1009" t="s">
        <v>1949</v>
      </c>
      <c r="P51" s="1020"/>
      <c r="Q51" s="2345"/>
      <c r="R51" s="2345"/>
      <c r="S51" s="2345"/>
      <c r="T51" s="2345"/>
      <c r="U51" s="2345"/>
      <c r="V51" s="2345"/>
    </row>
    <row r="52" spans="1:22" ht="25.5" hidden="1" customHeight="1">
      <c r="A52" s="1364"/>
      <c r="B52" s="1397" t="s">
        <v>1391</v>
      </c>
      <c r="C52" s="1076"/>
      <c r="D52" s="1141"/>
      <c r="E52" s="1398">
        <v>1.5</v>
      </c>
      <c r="F52" s="1432">
        <f t="shared" ref="F52:F76" si="28">H52/E52-1</f>
        <v>6.5333333333333341</v>
      </c>
      <c r="G52" s="1398">
        <v>16.3</v>
      </c>
      <c r="H52" s="993">
        <v>11.3</v>
      </c>
      <c r="I52" s="1068"/>
      <c r="J52" s="1068">
        <v>21</v>
      </c>
      <c r="K52" s="989">
        <v>1.45</v>
      </c>
      <c r="L52" s="989">
        <v>21.3</v>
      </c>
      <c r="M52" s="989">
        <v>1.9</v>
      </c>
      <c r="N52" s="1327"/>
      <c r="O52" s="1009" t="s">
        <v>1950</v>
      </c>
      <c r="P52" s="1020"/>
      <c r="Q52" s="2345"/>
      <c r="R52" s="2345"/>
      <c r="S52" s="2345"/>
      <c r="T52" s="2345"/>
      <c r="U52" s="2345"/>
      <c r="V52" s="2345"/>
    </row>
    <row r="53" spans="1:22" ht="25.5" customHeight="1">
      <c r="A53" s="2739" t="s">
        <v>2073</v>
      </c>
      <c r="B53" s="2724" t="s">
        <v>1195</v>
      </c>
      <c r="C53" s="2722" t="s">
        <v>1080</v>
      </c>
      <c r="D53" s="1082" t="s">
        <v>471</v>
      </c>
      <c r="E53" s="1051">
        <f>SUM(E55:E56)</f>
        <v>7.5</v>
      </c>
      <c r="F53" s="1361">
        <f t="shared" si="28"/>
        <v>0.10666666666666669</v>
      </c>
      <c r="G53" s="1051">
        <f>SUM(G55:G56)</f>
        <v>10.74</v>
      </c>
      <c r="H53" s="1053">
        <f>SUM(H55:H56)</f>
        <v>8.3000000000000007</v>
      </c>
      <c r="I53" s="1051"/>
      <c r="J53" s="1051"/>
      <c r="K53" s="1053">
        <f t="shared" ref="K53:M53" si="29">SUM(K55:K56)</f>
        <v>10.5</v>
      </c>
      <c r="L53" s="1053">
        <f t="shared" si="29"/>
        <v>10.5</v>
      </c>
      <c r="M53" s="1053">
        <f t="shared" si="29"/>
        <v>10.5</v>
      </c>
      <c r="N53" s="2485" t="s">
        <v>2314</v>
      </c>
      <c r="O53" s="2350" t="s">
        <v>1385</v>
      </c>
      <c r="P53" s="2344" t="s">
        <v>1357</v>
      </c>
      <c r="Q53" s="2345"/>
      <c r="R53" s="2345"/>
      <c r="S53" s="2345"/>
      <c r="T53" s="2345"/>
      <c r="U53" s="2345"/>
      <c r="V53" s="2345"/>
    </row>
    <row r="54" spans="1:22" ht="34.5" customHeight="1">
      <c r="A54" s="2739"/>
      <c r="B54" s="2725"/>
      <c r="C54" s="2723"/>
      <c r="D54" s="1087" t="s">
        <v>1076</v>
      </c>
      <c r="E54" s="1088">
        <f>E53</f>
        <v>7.5</v>
      </c>
      <c r="F54" s="1412">
        <f t="shared" si="28"/>
        <v>0.10666666666666669</v>
      </c>
      <c r="G54" s="1088">
        <f>G53</f>
        <v>10.74</v>
      </c>
      <c r="H54" s="1089">
        <f>H53</f>
        <v>8.3000000000000007</v>
      </c>
      <c r="I54" s="1088"/>
      <c r="J54" s="1088"/>
      <c r="K54" s="1089">
        <f t="shared" ref="K54:M54" si="30">K53</f>
        <v>10.5</v>
      </c>
      <c r="L54" s="1089">
        <f t="shared" si="30"/>
        <v>10.5</v>
      </c>
      <c r="M54" s="1089">
        <f t="shared" si="30"/>
        <v>10.5</v>
      </c>
      <c r="N54" s="2487"/>
      <c r="O54" s="2396"/>
      <c r="P54" s="2342"/>
      <c r="Q54" s="2345"/>
      <c r="R54" s="2345"/>
      <c r="S54" s="2345"/>
      <c r="T54" s="2345"/>
      <c r="U54" s="2345"/>
      <c r="V54" s="2345"/>
    </row>
    <row r="55" spans="1:22" ht="25.5" hidden="1" customHeight="1">
      <c r="A55" s="1364"/>
      <c r="B55" s="975" t="s">
        <v>1391</v>
      </c>
      <c r="C55" s="1078"/>
      <c r="D55" s="1022"/>
      <c r="E55" s="1398">
        <v>7.5</v>
      </c>
      <c r="F55" s="1432">
        <f t="shared" si="28"/>
        <v>6.6666666666666652E-2</v>
      </c>
      <c r="G55" s="1398">
        <v>10.14</v>
      </c>
      <c r="H55" s="993">
        <v>8</v>
      </c>
      <c r="I55" s="1398"/>
      <c r="J55" s="1398"/>
      <c r="K55" s="993">
        <v>10</v>
      </c>
      <c r="L55" s="993">
        <v>10</v>
      </c>
      <c r="M55" s="993">
        <v>10</v>
      </c>
      <c r="N55" s="1477"/>
      <c r="O55" s="989" t="s">
        <v>1778</v>
      </c>
      <c r="P55" s="1020"/>
      <c r="Q55" s="2345"/>
      <c r="R55" s="2345"/>
      <c r="S55" s="2345"/>
      <c r="T55" s="2345"/>
      <c r="U55" s="2345"/>
      <c r="V55" s="2345"/>
    </row>
    <row r="56" spans="1:22" ht="25.5" hidden="1" customHeight="1">
      <c r="A56" s="1364"/>
      <c r="B56" s="975" t="s">
        <v>1392</v>
      </c>
      <c r="C56" s="1078"/>
      <c r="D56" s="1022"/>
      <c r="E56" s="1142"/>
      <c r="F56" s="1432"/>
      <c r="G56" s="1398">
        <v>0.6</v>
      </c>
      <c r="H56" s="993">
        <v>0.3</v>
      </c>
      <c r="I56" s="1398"/>
      <c r="J56" s="1398">
        <v>0.9</v>
      </c>
      <c r="K56" s="993">
        <v>0.5</v>
      </c>
      <c r="L56" s="993">
        <v>0.5</v>
      </c>
      <c r="M56" s="993">
        <v>0.5</v>
      </c>
      <c r="N56" s="1477"/>
      <c r="O56" s="1009" t="s">
        <v>1951</v>
      </c>
      <c r="P56" s="1020"/>
      <c r="Q56" s="2345"/>
      <c r="R56" s="2345"/>
      <c r="S56" s="2345"/>
      <c r="T56" s="2345"/>
      <c r="U56" s="2345"/>
      <c r="V56" s="2345"/>
    </row>
    <row r="57" spans="1:22" ht="25.5" customHeight="1">
      <c r="A57" s="2739" t="s">
        <v>2074</v>
      </c>
      <c r="B57" s="2367" t="s">
        <v>1196</v>
      </c>
      <c r="C57" s="2706" t="s">
        <v>1080</v>
      </c>
      <c r="D57" s="1035" t="s">
        <v>471</v>
      </c>
      <c r="E57" s="1051">
        <v>1.4</v>
      </c>
      <c r="F57" s="1361">
        <f t="shared" si="28"/>
        <v>1.4285714285714288</v>
      </c>
      <c r="G57" s="1051">
        <f>SUM(G59:G60)</f>
        <v>3.73</v>
      </c>
      <c r="H57" s="1053">
        <f>SUM(H59:H60)</f>
        <v>3.4</v>
      </c>
      <c r="I57" s="1051"/>
      <c r="J57" s="1051"/>
      <c r="K57" s="1053">
        <f>SUM(K59,K60)</f>
        <v>1.5</v>
      </c>
      <c r="L57" s="1053">
        <v>1.5</v>
      </c>
      <c r="M57" s="1053">
        <f t="shared" ref="M57" si="31">SUM(M59,M60)</f>
        <v>1.5</v>
      </c>
      <c r="N57" s="2476" t="s">
        <v>2314</v>
      </c>
      <c r="O57" s="2395" t="s">
        <v>1952</v>
      </c>
      <c r="P57" s="2344" t="s">
        <v>1358</v>
      </c>
      <c r="Q57" s="2345"/>
      <c r="R57" s="2345"/>
      <c r="S57" s="2345"/>
      <c r="T57" s="2345"/>
      <c r="U57" s="2345"/>
      <c r="V57" s="2345"/>
    </row>
    <row r="58" spans="1:22" ht="51" customHeight="1">
      <c r="A58" s="2739"/>
      <c r="B58" s="2367"/>
      <c r="C58" s="2706"/>
      <c r="D58" s="1056" t="s">
        <v>1076</v>
      </c>
      <c r="E58" s="1057">
        <f>E57</f>
        <v>1.4</v>
      </c>
      <c r="F58" s="1412">
        <f t="shared" si="28"/>
        <v>1.4285714285714288</v>
      </c>
      <c r="G58" s="1057">
        <f>G57</f>
        <v>3.73</v>
      </c>
      <c r="H58" s="1059">
        <f>H57</f>
        <v>3.4</v>
      </c>
      <c r="I58" s="1057"/>
      <c r="J58" s="1057"/>
      <c r="K58" s="1059">
        <f>K57</f>
        <v>1.5</v>
      </c>
      <c r="L58" s="1059">
        <f t="shared" ref="L58:M58" si="32">L57</f>
        <v>1.5</v>
      </c>
      <c r="M58" s="1059">
        <f t="shared" si="32"/>
        <v>1.5</v>
      </c>
      <c r="N58" s="2476"/>
      <c r="O58" s="2396"/>
      <c r="P58" s="2342"/>
      <c r="Q58" s="2344"/>
      <c r="R58" s="2344"/>
      <c r="S58" s="2344"/>
      <c r="T58" s="2344"/>
      <c r="U58" s="2344"/>
      <c r="V58" s="2344"/>
    </row>
    <row r="59" spans="1:22" ht="25.5" hidden="1" customHeight="1">
      <c r="A59" s="1364"/>
      <c r="B59" s="975" t="s">
        <v>1391</v>
      </c>
      <c r="C59" s="1078"/>
      <c r="D59" s="1022"/>
      <c r="E59" s="1398">
        <v>1.4</v>
      </c>
      <c r="F59" s="1432">
        <f t="shared" si="28"/>
        <v>0</v>
      </c>
      <c r="G59" s="1398">
        <v>1.73</v>
      </c>
      <c r="H59" s="989">
        <v>1.4</v>
      </c>
      <c r="I59" s="1068"/>
      <c r="J59" s="1068"/>
      <c r="K59" s="989">
        <v>1.5</v>
      </c>
      <c r="L59" s="989">
        <v>1.5</v>
      </c>
      <c r="M59" s="989">
        <v>1.5</v>
      </c>
      <c r="N59" s="1327"/>
      <c r="O59" s="1009" t="s">
        <v>3549</v>
      </c>
      <c r="P59" s="988"/>
      <c r="Q59" s="1031"/>
      <c r="R59" s="1031"/>
      <c r="S59" s="1031"/>
      <c r="T59" s="1031"/>
      <c r="U59" s="1031"/>
      <c r="V59" s="1434"/>
    </row>
    <row r="60" spans="1:22" ht="25.5" hidden="1" customHeight="1">
      <c r="A60" s="1435"/>
      <c r="B60" s="1436" t="s">
        <v>1390</v>
      </c>
      <c r="C60" s="1437"/>
      <c r="D60" s="994"/>
      <c r="E60" s="1398"/>
      <c r="F60" s="1438"/>
      <c r="G60" s="1398">
        <v>2</v>
      </c>
      <c r="H60" s="1145">
        <v>2</v>
      </c>
      <c r="I60" s="1439"/>
      <c r="J60" s="1439"/>
      <c r="K60" s="1440">
        <v>0</v>
      </c>
      <c r="L60" s="989">
        <v>0</v>
      </c>
      <c r="M60" s="989">
        <v>0</v>
      </c>
      <c r="N60" s="1327"/>
      <c r="O60" s="989" t="s">
        <v>1781</v>
      </c>
      <c r="P60" s="1441"/>
      <c r="Q60" s="1442"/>
      <c r="R60" s="1442"/>
      <c r="S60" s="1442"/>
      <c r="T60" s="1442"/>
      <c r="U60" s="1442"/>
      <c r="V60" s="1443"/>
    </row>
    <row r="61" spans="1:22" s="193" customFormat="1" ht="138.75" customHeight="1">
      <c r="A61" s="1017" t="s">
        <v>3051</v>
      </c>
      <c r="B61" s="954" t="s">
        <v>2985</v>
      </c>
      <c r="C61" s="1017"/>
      <c r="D61" s="1017"/>
      <c r="E61" s="1094" t="e">
        <f>SUM(E64,E67,E72,E76,E84,)</f>
        <v>#REF!</v>
      </c>
      <c r="F61" s="1368" t="e">
        <f t="shared" si="28"/>
        <v>#REF!</v>
      </c>
      <c r="G61" s="1094" t="e">
        <f>SUM(G64,G67,G72,G76,G84,)</f>
        <v>#REF!</v>
      </c>
      <c r="H61" s="1095">
        <f>SUM(H64,H67,H72,H76,H84,)</f>
        <v>120.08</v>
      </c>
      <c r="I61" s="1094"/>
      <c r="J61" s="1094"/>
      <c r="K61" s="1095">
        <f>SUM(K64,K67,K72,K76,K84,)</f>
        <v>92.5</v>
      </c>
      <c r="L61" s="1095">
        <f>SUM(L64,L67,L72,L76,L84,)</f>
        <v>77.5</v>
      </c>
      <c r="M61" s="1095">
        <f>SUM(M64,M67,M72,M76,M84,)</f>
        <v>77.5</v>
      </c>
      <c r="N61" s="183" t="s">
        <v>2316</v>
      </c>
      <c r="O61" s="1017"/>
      <c r="P61" s="970" t="s">
        <v>1359</v>
      </c>
      <c r="Q61" s="970" t="s">
        <v>1782</v>
      </c>
      <c r="R61" s="970" t="s">
        <v>1802</v>
      </c>
      <c r="S61" s="970" t="s">
        <v>1802</v>
      </c>
      <c r="T61" s="970" t="s">
        <v>1801</v>
      </c>
      <c r="U61" s="970" t="s">
        <v>1800</v>
      </c>
      <c r="V61" s="970" t="s">
        <v>2317</v>
      </c>
    </row>
    <row r="62" spans="1:22" ht="25.5" customHeight="1">
      <c r="A62" s="2727" t="s">
        <v>2075</v>
      </c>
      <c r="B62" s="2728" t="s">
        <v>1198</v>
      </c>
      <c r="C62" s="2722">
        <v>300509331</v>
      </c>
      <c r="D62" s="1082" t="s">
        <v>471</v>
      </c>
      <c r="E62" s="1051">
        <f>E65</f>
        <v>11.4</v>
      </c>
      <c r="F62" s="1362">
        <f t="shared" si="28"/>
        <v>0.22807017543859653</v>
      </c>
      <c r="G62" s="1051">
        <v>16</v>
      </c>
      <c r="H62" s="1053">
        <v>14</v>
      </c>
      <c r="I62" s="1051"/>
      <c r="J62" s="1051"/>
      <c r="K62" s="1053">
        <v>14</v>
      </c>
      <c r="L62" s="1053">
        <v>14</v>
      </c>
      <c r="M62" s="1053">
        <v>14</v>
      </c>
      <c r="N62" s="2775" t="s">
        <v>2318</v>
      </c>
      <c r="O62" s="2349" t="s">
        <v>1386</v>
      </c>
      <c r="P62" s="2344" t="s">
        <v>1360</v>
      </c>
      <c r="Q62" s="2342" t="s">
        <v>1367</v>
      </c>
      <c r="R62" s="2342" t="s">
        <v>1340</v>
      </c>
      <c r="S62" s="2342" t="s">
        <v>1340</v>
      </c>
      <c r="T62" s="2342" t="s">
        <v>1403</v>
      </c>
      <c r="U62" s="2342" t="s">
        <v>1404</v>
      </c>
      <c r="V62" s="2342" t="s">
        <v>2309</v>
      </c>
    </row>
    <row r="63" spans="1:22" ht="25.5" customHeight="1">
      <c r="A63" s="2727"/>
      <c r="B63" s="2728"/>
      <c r="C63" s="2722"/>
      <c r="D63" s="1082" t="s">
        <v>413</v>
      </c>
      <c r="E63" s="1051">
        <v>0</v>
      </c>
      <c r="F63" s="1362"/>
      <c r="G63" s="1051">
        <v>0.24</v>
      </c>
      <c r="H63" s="1053">
        <v>0</v>
      </c>
      <c r="I63" s="1051"/>
      <c r="J63" s="1051"/>
      <c r="K63" s="1053"/>
      <c r="L63" s="1053"/>
      <c r="M63" s="1053"/>
      <c r="N63" s="2775"/>
      <c r="O63" s="2363"/>
      <c r="P63" s="2344"/>
      <c r="Q63" s="2342"/>
      <c r="R63" s="2342"/>
      <c r="S63" s="2342"/>
      <c r="T63" s="2342"/>
      <c r="U63" s="2342"/>
      <c r="V63" s="2342"/>
    </row>
    <row r="64" spans="1:22" ht="30" customHeight="1">
      <c r="A64" s="2727"/>
      <c r="B64" s="2728"/>
      <c r="C64" s="2722"/>
      <c r="D64" s="1083" t="s">
        <v>1076</v>
      </c>
      <c r="E64" s="1057">
        <f>SUM(E62:E63)</f>
        <v>11.4</v>
      </c>
      <c r="F64" s="1412">
        <f t="shared" si="28"/>
        <v>0.22807017543859653</v>
      </c>
      <c r="G64" s="1057" cm="1">
        <f t="array" ref="G64:G65">G62:G63</f>
        <v>16</v>
      </c>
      <c r="H64" s="1059" cm="1">
        <f t="array" ref="H64:H65">H62:H63</f>
        <v>14</v>
      </c>
      <c r="I64" s="1057"/>
      <c r="J64" s="1057"/>
      <c r="K64" s="1059">
        <f>SUM(K62,K63)</f>
        <v>14</v>
      </c>
      <c r="L64" s="1059">
        <f t="shared" ref="L64:M64" si="33">SUM(L62,L63)</f>
        <v>14</v>
      </c>
      <c r="M64" s="1059">
        <f t="shared" si="33"/>
        <v>14</v>
      </c>
      <c r="N64" s="2775"/>
      <c r="O64" s="2401"/>
      <c r="P64" s="2342"/>
      <c r="Q64" s="2342"/>
      <c r="R64" s="2342"/>
      <c r="S64" s="2342"/>
      <c r="T64" s="2342"/>
      <c r="U64" s="2342"/>
      <c r="V64" s="2342"/>
    </row>
    <row r="65" spans="1:22" ht="25.5" hidden="1" customHeight="1">
      <c r="A65" s="1444"/>
      <c r="B65" s="1397" t="s">
        <v>1391</v>
      </c>
      <c r="C65" s="1445"/>
      <c r="D65" s="1382"/>
      <c r="E65" s="1319">
        <v>11.4</v>
      </c>
      <c r="F65" s="2220">
        <f t="shared" si="28"/>
        <v>-1</v>
      </c>
      <c r="G65" s="1135">
        <v>0.24</v>
      </c>
      <c r="H65" s="1081">
        <v>0</v>
      </c>
      <c r="I65" s="1142"/>
      <c r="J65" s="1142"/>
      <c r="K65" s="993">
        <v>14</v>
      </c>
      <c r="L65" s="989">
        <v>14</v>
      </c>
      <c r="M65" s="989">
        <v>14</v>
      </c>
      <c r="N65" s="1477"/>
      <c r="O65" s="1145"/>
      <c r="P65" s="1020"/>
      <c r="Q65" s="1011"/>
      <c r="R65" s="1011"/>
      <c r="S65" s="1011"/>
      <c r="T65" s="1011"/>
      <c r="U65" s="1011"/>
      <c r="V65" s="1011"/>
    </row>
    <row r="66" spans="1:22" ht="25.5" customHeight="1">
      <c r="A66" s="2811" t="s">
        <v>2076</v>
      </c>
      <c r="B66" s="2367" t="s">
        <v>1199</v>
      </c>
      <c r="C66" s="2706" t="s">
        <v>1080</v>
      </c>
      <c r="D66" s="1035" t="s">
        <v>471</v>
      </c>
      <c r="E66" s="1051">
        <f>E69</f>
        <v>14</v>
      </c>
      <c r="F66" s="1362">
        <f t="shared" si="28"/>
        <v>-8.5714285714285632E-2</v>
      </c>
      <c r="G66" s="1051">
        <f>SUM(G68:G69)</f>
        <v>10.6</v>
      </c>
      <c r="H66" s="1053">
        <f>14-1.2</f>
        <v>12.8</v>
      </c>
      <c r="I66" s="1051"/>
      <c r="J66" s="1051">
        <f>SUM(J69,J70)</f>
        <v>22</v>
      </c>
      <c r="K66" s="1053">
        <f>SUM(K69,K70,K68)</f>
        <v>29</v>
      </c>
      <c r="L66" s="1053">
        <f>SUM(L69,L70,L68)</f>
        <v>14</v>
      </c>
      <c r="M66" s="1053">
        <f t="shared" ref="M66" si="34">SUM(M69,M70,M68)</f>
        <v>14</v>
      </c>
      <c r="N66" s="2485" t="s">
        <v>2319</v>
      </c>
      <c r="O66" s="2395" t="s">
        <v>3550</v>
      </c>
      <c r="P66" s="2342" t="s">
        <v>1373</v>
      </c>
      <c r="Q66" s="2342" t="s">
        <v>2986</v>
      </c>
      <c r="R66" s="2342" t="s">
        <v>393</v>
      </c>
      <c r="S66" s="2342" t="s">
        <v>393</v>
      </c>
      <c r="T66" s="2342" t="s">
        <v>393</v>
      </c>
      <c r="U66" s="2343" t="s">
        <v>393</v>
      </c>
      <c r="V66" s="2342" t="s">
        <v>2320</v>
      </c>
    </row>
    <row r="67" spans="1:22" ht="32.25" customHeight="1">
      <c r="A67" s="2811"/>
      <c r="B67" s="2367"/>
      <c r="C67" s="2706"/>
      <c r="D67" s="1056" t="s">
        <v>1076</v>
      </c>
      <c r="E67" s="1057">
        <f>E66</f>
        <v>14</v>
      </c>
      <c r="F67" s="1407">
        <f t="shared" si="28"/>
        <v>-8.5714285714285632E-2</v>
      </c>
      <c r="G67" s="1057">
        <f>SUM(G66)</f>
        <v>10.6</v>
      </c>
      <c r="H67" s="1059">
        <f>SUM(H66)</f>
        <v>12.8</v>
      </c>
      <c r="I67" s="1057"/>
      <c r="J67" s="1057">
        <f t="shared" ref="J67:M67" si="35">SUM(J66)</f>
        <v>22</v>
      </c>
      <c r="K67" s="1059">
        <f t="shared" si="35"/>
        <v>29</v>
      </c>
      <c r="L67" s="1089">
        <f t="shared" si="35"/>
        <v>14</v>
      </c>
      <c r="M67" s="1089">
        <f t="shared" si="35"/>
        <v>14</v>
      </c>
      <c r="N67" s="2486"/>
      <c r="O67" s="2396"/>
      <c r="P67" s="2342"/>
      <c r="Q67" s="2342"/>
      <c r="R67" s="2342"/>
      <c r="S67" s="2342"/>
      <c r="T67" s="2342"/>
      <c r="U67" s="2344"/>
      <c r="V67" s="2342"/>
    </row>
    <row r="68" spans="1:22" ht="25.5" hidden="1" customHeight="1">
      <c r="A68" s="2219"/>
      <c r="B68" s="975" t="s">
        <v>1391</v>
      </c>
      <c r="C68" s="1078"/>
      <c r="D68" s="990"/>
      <c r="E68" s="1068">
        <v>0</v>
      </c>
      <c r="F68" s="1394" t="e">
        <f t="shared" ref="F68" si="36">(G68-E68)/E68</f>
        <v>#DIV/0!</v>
      </c>
      <c r="G68" s="1068">
        <v>0.6</v>
      </c>
      <c r="H68" s="989">
        <v>0</v>
      </c>
      <c r="I68" s="1068"/>
      <c r="J68" s="1068"/>
      <c r="K68" s="989">
        <v>0</v>
      </c>
      <c r="L68" s="989">
        <v>0</v>
      </c>
      <c r="M68" s="989">
        <v>0</v>
      </c>
      <c r="N68" s="1478"/>
      <c r="O68" s="1009" t="s">
        <v>1953</v>
      </c>
      <c r="P68" s="992"/>
      <c r="Q68" s="1011"/>
      <c r="R68" s="1011"/>
      <c r="S68" s="1011"/>
      <c r="T68" s="1011"/>
      <c r="U68" s="1011"/>
      <c r="V68" s="1011"/>
    </row>
    <row r="69" spans="1:22" ht="25.5" hidden="1" customHeight="1">
      <c r="A69" s="2219"/>
      <c r="B69" s="2808" t="s">
        <v>1390</v>
      </c>
      <c r="C69" s="1078"/>
      <c r="D69" s="990"/>
      <c r="E69" s="1068">
        <v>14</v>
      </c>
      <c r="F69" s="1394">
        <f t="shared" si="28"/>
        <v>-0.2857142857142857</v>
      </c>
      <c r="G69" s="1068">
        <v>10</v>
      </c>
      <c r="H69" s="989">
        <v>10</v>
      </c>
      <c r="I69" s="1068"/>
      <c r="J69" s="1068">
        <v>10</v>
      </c>
      <c r="K69" s="989">
        <f>14+15</f>
        <v>29</v>
      </c>
      <c r="L69" s="989">
        <v>14</v>
      </c>
      <c r="M69" s="989">
        <v>14</v>
      </c>
      <c r="N69" s="1479"/>
      <c r="O69" s="1009" t="s">
        <v>3370</v>
      </c>
      <c r="P69" s="992"/>
      <c r="Q69" s="1011"/>
      <c r="R69" s="1011"/>
      <c r="S69" s="1011"/>
      <c r="T69" s="1011"/>
      <c r="U69" s="1011"/>
      <c r="V69" s="1011"/>
    </row>
    <row r="70" spans="1:22" ht="25.5" hidden="1" customHeight="1">
      <c r="A70" s="2219"/>
      <c r="B70" s="2808"/>
      <c r="C70" s="1078"/>
      <c r="D70" s="990"/>
      <c r="E70" s="1068"/>
      <c r="F70" s="1394"/>
      <c r="G70" s="1068"/>
      <c r="H70" s="989"/>
      <c r="I70" s="1068"/>
      <c r="J70" s="1068">
        <v>12</v>
      </c>
      <c r="K70" s="989"/>
      <c r="L70" s="989"/>
      <c r="M70" s="989"/>
      <c r="N70" s="1480"/>
      <c r="O70" s="1009" t="s">
        <v>3371</v>
      </c>
      <c r="P70" s="992"/>
      <c r="Q70" s="1011"/>
      <c r="R70" s="1011"/>
      <c r="S70" s="1011"/>
      <c r="T70" s="1011"/>
      <c r="U70" s="1011"/>
      <c r="V70" s="1011"/>
    </row>
    <row r="71" spans="1:22" ht="25.5" customHeight="1">
      <c r="A71" s="2809" t="s">
        <v>2077</v>
      </c>
      <c r="B71" s="2367" t="s">
        <v>1200</v>
      </c>
      <c r="C71" s="2706" t="s">
        <v>1080</v>
      </c>
      <c r="D71" s="1035" t="s">
        <v>471</v>
      </c>
      <c r="E71" s="1051">
        <f>SUM(E73,E74)</f>
        <v>41.5</v>
      </c>
      <c r="F71" s="1362">
        <f t="shared" si="28"/>
        <v>-0.24096385542168675</v>
      </c>
      <c r="G71" s="1051">
        <f>SUM(G73:G74)</f>
        <v>65</v>
      </c>
      <c r="H71" s="1053">
        <f>SUM(H73:H74)</f>
        <v>31.5</v>
      </c>
      <c r="I71" s="1051"/>
      <c r="J71" s="1051"/>
      <c r="K71" s="1053">
        <f t="shared" ref="K71" si="37">SUM(K73:K74)</f>
        <v>21.5</v>
      </c>
      <c r="L71" s="1053">
        <f>SUM(L73:L74)</f>
        <v>21.5</v>
      </c>
      <c r="M71" s="1053">
        <f>SUM(M73:M74)</f>
        <v>21.5</v>
      </c>
      <c r="N71" s="2485" t="s">
        <v>2321</v>
      </c>
      <c r="O71" s="2395" t="s">
        <v>4239</v>
      </c>
      <c r="P71" s="2342" t="s">
        <v>1374</v>
      </c>
      <c r="Q71" s="2342" t="s">
        <v>1368</v>
      </c>
      <c r="R71" s="2342" t="s">
        <v>393</v>
      </c>
      <c r="S71" s="2342" t="s">
        <v>393</v>
      </c>
      <c r="T71" s="2342" t="s">
        <v>393</v>
      </c>
      <c r="U71" s="2343" t="s">
        <v>393</v>
      </c>
      <c r="V71" s="2342" t="s">
        <v>2322</v>
      </c>
    </row>
    <row r="72" spans="1:22" ht="33.75" customHeight="1">
      <c r="A72" s="2810"/>
      <c r="B72" s="2367"/>
      <c r="C72" s="2706"/>
      <c r="D72" s="1056" t="s">
        <v>1076</v>
      </c>
      <c r="E72" s="1057">
        <f>E71</f>
        <v>41.5</v>
      </c>
      <c r="F72" s="1407">
        <f t="shared" si="28"/>
        <v>-0.24096385542168675</v>
      </c>
      <c r="G72" s="1057">
        <f>SUM(G71)</f>
        <v>65</v>
      </c>
      <c r="H72" s="1059">
        <f>SUM(H71)</f>
        <v>31.5</v>
      </c>
      <c r="I72" s="1057"/>
      <c r="J72" s="1057"/>
      <c r="K72" s="1059">
        <f t="shared" ref="K72:M72" si="38">SUM(K71)</f>
        <v>21.5</v>
      </c>
      <c r="L72" s="1059">
        <f t="shared" si="38"/>
        <v>21.5</v>
      </c>
      <c r="M72" s="1059">
        <f t="shared" si="38"/>
        <v>21.5</v>
      </c>
      <c r="N72" s="2486"/>
      <c r="O72" s="2396"/>
      <c r="P72" s="2342"/>
      <c r="Q72" s="2342"/>
      <c r="R72" s="2342"/>
      <c r="S72" s="2342"/>
      <c r="T72" s="2342"/>
      <c r="U72" s="2344"/>
      <c r="V72" s="2342"/>
    </row>
    <row r="73" spans="1:22" ht="25.5" hidden="1" customHeight="1">
      <c r="A73" s="1416"/>
      <c r="B73" s="2221" t="s">
        <v>1390</v>
      </c>
      <c r="C73" s="1077"/>
      <c r="D73" s="2222"/>
      <c r="E73" s="2223">
        <v>20</v>
      </c>
      <c r="F73" s="1432">
        <f t="shared" si="28"/>
        <v>-0.5</v>
      </c>
      <c r="G73" s="2223">
        <v>33</v>
      </c>
      <c r="H73" s="1145">
        <v>10</v>
      </c>
      <c r="I73" s="1066"/>
      <c r="J73" s="1066"/>
      <c r="K73" s="985"/>
      <c r="L73" s="989"/>
      <c r="M73" s="989"/>
      <c r="N73" s="1478"/>
      <c r="O73" s="1019"/>
      <c r="P73" s="1020"/>
      <c r="Q73" s="1011"/>
      <c r="R73" s="1011"/>
      <c r="S73" s="1011"/>
      <c r="T73" s="1011"/>
      <c r="U73" s="1011"/>
      <c r="V73" s="1004"/>
    </row>
    <row r="74" spans="1:22" ht="25.5" hidden="1" customHeight="1">
      <c r="A74" s="1416"/>
      <c r="B74" s="1397" t="s">
        <v>1391</v>
      </c>
      <c r="C74" s="1076"/>
      <c r="D74" s="1141"/>
      <c r="E74" s="1398">
        <v>21.5</v>
      </c>
      <c r="F74" s="1432">
        <f t="shared" si="28"/>
        <v>0</v>
      </c>
      <c r="G74" s="1398">
        <v>32</v>
      </c>
      <c r="H74" s="993">
        <v>21.5</v>
      </c>
      <c r="I74" s="1068"/>
      <c r="J74" s="1068"/>
      <c r="K74" s="989">
        <v>21.5</v>
      </c>
      <c r="L74" s="989">
        <v>21.5</v>
      </c>
      <c r="M74" s="989">
        <v>21.5</v>
      </c>
      <c r="N74" s="1478"/>
      <c r="O74" s="1019" t="s">
        <v>1954</v>
      </c>
      <c r="P74" s="1020"/>
      <c r="Q74" s="1011"/>
      <c r="R74" s="1011"/>
      <c r="S74" s="1011"/>
      <c r="T74" s="1011"/>
      <c r="U74" s="1011"/>
      <c r="V74" s="1004"/>
    </row>
    <row r="75" spans="1:22" ht="25.5" customHeight="1">
      <c r="A75" s="2727" t="s">
        <v>2078</v>
      </c>
      <c r="B75" s="2728" t="s">
        <v>3372</v>
      </c>
      <c r="C75" s="2722" t="s">
        <v>1080</v>
      </c>
      <c r="D75" s="1082" t="s">
        <v>471</v>
      </c>
      <c r="E75" s="1051" t="e">
        <f>#REF!</f>
        <v>#REF!</v>
      </c>
      <c r="F75" s="1361" t="e">
        <f t="shared" si="28"/>
        <v>#REF!</v>
      </c>
      <c r="G75" s="1051" t="e">
        <f>SUM(#REF!)</f>
        <v>#REF!</v>
      </c>
      <c r="H75" s="1053">
        <v>18</v>
      </c>
      <c r="I75" s="1051"/>
      <c r="J75" s="1051">
        <f>SUM(J77,J78,J79,J80,)</f>
        <v>36</v>
      </c>
      <c r="K75" s="1053">
        <f t="shared" ref="K75:M75" si="39">SUM(K77,K78,K79,K80,)</f>
        <v>28</v>
      </c>
      <c r="L75" s="1053">
        <f t="shared" si="39"/>
        <v>28</v>
      </c>
      <c r="M75" s="1053">
        <f t="shared" si="39"/>
        <v>28</v>
      </c>
      <c r="N75" s="2485" t="s">
        <v>2323</v>
      </c>
      <c r="O75" s="2395" t="s">
        <v>2987</v>
      </c>
      <c r="P75" s="2344" t="s">
        <v>1375</v>
      </c>
      <c r="Q75" s="2342" t="s">
        <v>1369</v>
      </c>
      <c r="R75" s="2342" t="s">
        <v>1349</v>
      </c>
      <c r="S75" s="2342" t="s">
        <v>1349</v>
      </c>
      <c r="T75" s="2342" t="s">
        <v>1463</v>
      </c>
      <c r="U75" s="2343" t="s">
        <v>1366</v>
      </c>
      <c r="V75" s="2342" t="s">
        <v>2313</v>
      </c>
    </row>
    <row r="76" spans="1:22" ht="193.5" customHeight="1">
      <c r="A76" s="2727"/>
      <c r="B76" s="2729"/>
      <c r="C76" s="2723"/>
      <c r="D76" s="1087" t="s">
        <v>1076</v>
      </c>
      <c r="E76" s="1088" t="e">
        <f>E75</f>
        <v>#REF!</v>
      </c>
      <c r="F76" s="1412" t="e">
        <f t="shared" si="28"/>
        <v>#REF!</v>
      </c>
      <c r="G76" s="1088" t="e">
        <f>G75</f>
        <v>#REF!</v>
      </c>
      <c r="H76" s="1089">
        <f>H75</f>
        <v>18</v>
      </c>
      <c r="I76" s="1057"/>
      <c r="J76" s="1057">
        <f>J75</f>
        <v>36</v>
      </c>
      <c r="K76" s="1059">
        <f t="shared" ref="K76:M76" si="40">K75</f>
        <v>28</v>
      </c>
      <c r="L76" s="1059">
        <f t="shared" si="40"/>
        <v>28</v>
      </c>
      <c r="M76" s="1059">
        <f t="shared" si="40"/>
        <v>28</v>
      </c>
      <c r="N76" s="2486"/>
      <c r="O76" s="2396"/>
      <c r="P76" s="2342"/>
      <c r="Q76" s="2342"/>
      <c r="R76" s="2342"/>
      <c r="S76" s="2342"/>
      <c r="T76" s="2342"/>
      <c r="U76" s="2344"/>
      <c r="V76" s="2342"/>
    </row>
    <row r="77" spans="1:22" ht="25.5" hidden="1" customHeight="1">
      <c r="A77" s="1450"/>
      <c r="B77" s="1397" t="s">
        <v>3551</v>
      </c>
      <c r="C77" s="1076" t="s">
        <v>3285</v>
      </c>
      <c r="D77" s="1141"/>
      <c r="E77" s="1398"/>
      <c r="F77" s="1451"/>
      <c r="G77" s="1398"/>
      <c r="H77" s="993"/>
      <c r="I77" s="1102"/>
      <c r="J77" s="1120">
        <v>10</v>
      </c>
      <c r="K77" s="989">
        <v>10</v>
      </c>
      <c r="L77" s="989">
        <v>10</v>
      </c>
      <c r="M77" s="989">
        <v>10</v>
      </c>
      <c r="N77" s="933"/>
      <c r="O77" s="1428" t="s">
        <v>3552</v>
      </c>
      <c r="P77" s="1031"/>
      <c r="Q77" s="1031"/>
      <c r="R77" s="1442"/>
      <c r="S77" s="1442"/>
      <c r="T77" s="1442"/>
      <c r="U77" s="1442"/>
      <c r="V77" s="1452"/>
    </row>
    <row r="78" spans="1:22" ht="25.5" hidden="1" customHeight="1">
      <c r="A78" s="1450"/>
      <c r="B78" s="1397" t="s">
        <v>3553</v>
      </c>
      <c r="C78" s="1076"/>
      <c r="D78" s="1141"/>
      <c r="E78" s="1398"/>
      <c r="F78" s="1451"/>
      <c r="G78" s="1398"/>
      <c r="H78" s="993"/>
      <c r="I78" s="1102"/>
      <c r="J78" s="1120">
        <v>20</v>
      </c>
      <c r="K78" s="989">
        <v>13</v>
      </c>
      <c r="L78" s="989">
        <v>13</v>
      </c>
      <c r="M78" s="989">
        <v>13</v>
      </c>
      <c r="N78" s="933"/>
      <c r="O78" s="1428"/>
      <c r="P78" s="1031"/>
      <c r="Q78" s="1031"/>
      <c r="R78" s="1442"/>
      <c r="S78" s="1442"/>
      <c r="T78" s="1442"/>
      <c r="U78" s="1442"/>
      <c r="V78" s="1452"/>
    </row>
    <row r="79" spans="1:22" ht="25.5" hidden="1" customHeight="1">
      <c r="A79" s="1450"/>
      <c r="B79" s="1397" t="s">
        <v>3554</v>
      </c>
      <c r="C79" s="1076"/>
      <c r="D79" s="1141"/>
      <c r="E79" s="1398"/>
      <c r="F79" s="1451"/>
      <c r="G79" s="1398"/>
      <c r="H79" s="993"/>
      <c r="I79" s="1102"/>
      <c r="J79" s="1120">
        <v>0</v>
      </c>
      <c r="K79" s="989"/>
      <c r="L79" s="989"/>
      <c r="M79" s="989"/>
      <c r="N79" s="933"/>
      <c r="O79" s="1428"/>
      <c r="P79" s="1031"/>
      <c r="Q79" s="1031"/>
      <c r="R79" s="1442"/>
      <c r="S79" s="1442"/>
      <c r="T79" s="1442"/>
      <c r="U79" s="1442"/>
      <c r="V79" s="1452"/>
    </row>
    <row r="80" spans="1:22" ht="25.5" hidden="1" customHeight="1">
      <c r="A80" s="1450"/>
      <c r="B80" s="1397" t="s">
        <v>3555</v>
      </c>
      <c r="C80" s="1076" t="s">
        <v>3285</v>
      </c>
      <c r="D80" s="1141"/>
      <c r="E80" s="1398"/>
      <c r="F80" s="1451"/>
      <c r="G80" s="1398"/>
      <c r="H80" s="993"/>
      <c r="I80" s="1102"/>
      <c r="J80" s="1120">
        <v>6</v>
      </c>
      <c r="K80" s="989">
        <v>5</v>
      </c>
      <c r="L80" s="989">
        <v>5</v>
      </c>
      <c r="M80" s="989">
        <v>5</v>
      </c>
      <c r="N80" s="933"/>
      <c r="O80" s="1428"/>
      <c r="P80" s="1031"/>
      <c r="Q80" s="1031"/>
      <c r="R80" s="1442"/>
      <c r="S80" s="1452"/>
      <c r="T80" s="1452"/>
      <c r="U80" s="1452"/>
      <c r="V80" s="1452"/>
    </row>
    <row r="81" spans="1:54" ht="25.5" customHeight="1">
      <c r="A81" s="2807" t="s">
        <v>2079</v>
      </c>
      <c r="B81" s="2729" t="s">
        <v>1197</v>
      </c>
      <c r="C81" s="2722" t="s">
        <v>1080</v>
      </c>
      <c r="D81" s="1082" t="s">
        <v>2928</v>
      </c>
      <c r="E81" s="1051"/>
      <c r="F81" s="1361"/>
      <c r="G81" s="1051">
        <f>G85</f>
        <v>22</v>
      </c>
      <c r="H81" s="1053">
        <f>SUM(H85:H86)</f>
        <v>43.78</v>
      </c>
      <c r="I81" s="1051"/>
      <c r="J81" s="1051"/>
      <c r="K81" s="1053"/>
      <c r="L81" s="1053"/>
      <c r="M81" s="1053"/>
      <c r="N81" s="2485" t="s">
        <v>2323</v>
      </c>
      <c r="O81" s="2396" t="s">
        <v>1783</v>
      </c>
      <c r="P81" s="2344" t="s">
        <v>1376</v>
      </c>
      <c r="Q81" s="2344" t="s">
        <v>1369</v>
      </c>
      <c r="R81" s="2343" t="s">
        <v>324</v>
      </c>
      <c r="S81" s="2343" t="s">
        <v>434</v>
      </c>
      <c r="T81" s="2343" t="s">
        <v>324</v>
      </c>
      <c r="U81" s="2343" t="s">
        <v>324</v>
      </c>
      <c r="V81" s="2342" t="s">
        <v>2324</v>
      </c>
    </row>
    <row r="82" spans="1:54" ht="25.5" customHeight="1">
      <c r="A82" s="2745"/>
      <c r="B82" s="2753"/>
      <c r="C82" s="2723"/>
      <c r="D82" s="1387" t="s">
        <v>471</v>
      </c>
      <c r="E82" s="1112"/>
      <c r="F82" s="1361"/>
      <c r="G82" s="1112"/>
      <c r="H82" s="1162"/>
      <c r="I82" s="1051"/>
      <c r="J82" s="1051">
        <f>J87</f>
        <v>19.95</v>
      </c>
      <c r="K82" s="1053"/>
      <c r="L82" s="1053"/>
      <c r="M82" s="1053"/>
      <c r="N82" s="2486"/>
      <c r="O82" s="2396"/>
      <c r="P82" s="2344"/>
      <c r="Q82" s="2344"/>
      <c r="R82" s="2345"/>
      <c r="S82" s="2345"/>
      <c r="T82" s="2345"/>
      <c r="U82" s="2345"/>
      <c r="V82" s="2342"/>
    </row>
    <row r="83" spans="1:54" ht="25.5" customHeight="1">
      <c r="A83" s="2745"/>
      <c r="B83" s="2753"/>
      <c r="C83" s="2723"/>
      <c r="D83" s="1387" t="s">
        <v>246</v>
      </c>
      <c r="E83" s="1112"/>
      <c r="F83" s="1361"/>
      <c r="G83" s="1112"/>
      <c r="H83" s="1162"/>
      <c r="I83" s="1051"/>
      <c r="J83" s="1051"/>
      <c r="K83" s="1053"/>
      <c r="L83" s="1053"/>
      <c r="M83" s="1053"/>
      <c r="N83" s="2486"/>
      <c r="O83" s="2396"/>
      <c r="P83" s="2344"/>
      <c r="Q83" s="2344"/>
      <c r="R83" s="2345"/>
      <c r="S83" s="2345"/>
      <c r="T83" s="2345"/>
      <c r="U83" s="2345"/>
      <c r="V83" s="2342"/>
    </row>
    <row r="84" spans="1:54" ht="36.75" customHeight="1">
      <c r="A84" s="2745"/>
      <c r="B84" s="2753"/>
      <c r="C84" s="2723"/>
      <c r="D84" s="1087" t="s">
        <v>1076</v>
      </c>
      <c r="E84" s="1088"/>
      <c r="F84" s="1449"/>
      <c r="G84" s="1088">
        <f>G81</f>
        <v>22</v>
      </c>
      <c r="H84" s="1089">
        <f t="shared" ref="H84" si="41">H81</f>
        <v>43.78</v>
      </c>
      <c r="I84" s="1088"/>
      <c r="J84" s="1088">
        <f>SUM(J81,J82,J83)</f>
        <v>19.95</v>
      </c>
      <c r="K84" s="1089">
        <f t="shared" ref="K84:M84" si="42">SUM(K81,K82,K83)</f>
        <v>0</v>
      </c>
      <c r="L84" s="1089">
        <f t="shared" si="42"/>
        <v>0</v>
      </c>
      <c r="M84" s="1089">
        <f t="shared" si="42"/>
        <v>0</v>
      </c>
      <c r="N84" s="2487"/>
      <c r="O84" s="2400"/>
      <c r="P84" s="2343"/>
      <c r="Q84" s="2343"/>
      <c r="R84" s="2345"/>
      <c r="S84" s="2345"/>
      <c r="T84" s="2345"/>
      <c r="U84" s="2344"/>
      <c r="V84" s="2343"/>
    </row>
    <row r="85" spans="1:54" ht="25.5" hidden="1" customHeight="1">
      <c r="A85" s="1453"/>
      <c r="B85" s="1454" t="s">
        <v>2495</v>
      </c>
      <c r="C85" s="1371"/>
      <c r="D85" s="1189"/>
      <c r="E85" s="1127"/>
      <c r="F85" s="1427"/>
      <c r="G85" s="1102">
        <v>22</v>
      </c>
      <c r="H85" s="1001">
        <v>21.78</v>
      </c>
      <c r="I85" s="1102"/>
      <c r="J85" s="1102"/>
      <c r="K85" s="1005"/>
      <c r="L85" s="1005"/>
      <c r="M85" s="1005"/>
      <c r="N85" s="1481"/>
      <c r="O85" s="1001"/>
      <c r="P85" s="1452"/>
      <c r="Q85" s="1452"/>
      <c r="R85" s="971"/>
      <c r="S85" s="1452"/>
      <c r="T85" s="1452"/>
      <c r="U85" s="1452"/>
      <c r="V85" s="1004"/>
    </row>
    <row r="86" spans="1:54" ht="25.5" hidden="1" customHeight="1">
      <c r="A86" s="1453"/>
      <c r="B86" s="1454" t="s">
        <v>2715</v>
      </c>
      <c r="C86" s="1371"/>
      <c r="D86" s="1189"/>
      <c r="E86" s="1127"/>
      <c r="F86" s="1427"/>
      <c r="G86" s="1102"/>
      <c r="H86" s="1001">
        <v>22</v>
      </c>
      <c r="I86" s="1102"/>
      <c r="J86" s="1102"/>
      <c r="K86" s="1005"/>
      <c r="L86" s="1005"/>
      <c r="M86" s="1005"/>
      <c r="N86" s="1481"/>
      <c r="O86" s="1001"/>
      <c r="P86" s="1031"/>
      <c r="Q86" s="1031"/>
      <c r="R86" s="956"/>
      <c r="S86" s="1031"/>
      <c r="T86" s="1031"/>
      <c r="U86" s="1031"/>
      <c r="V86" s="1004"/>
    </row>
    <row r="87" spans="1:54" ht="25.5" hidden="1" customHeight="1">
      <c r="A87" s="1453"/>
      <c r="B87" s="1454" t="s">
        <v>3464</v>
      </c>
      <c r="C87" s="1371"/>
      <c r="D87" s="1189"/>
      <c r="E87" s="1127"/>
      <c r="F87" s="1427"/>
      <c r="G87" s="1102"/>
      <c r="H87" s="1001"/>
      <c r="I87" s="1102"/>
      <c r="J87" s="1102">
        <v>19.95</v>
      </c>
      <c r="K87" s="1005"/>
      <c r="L87" s="1005"/>
      <c r="M87" s="1005"/>
      <c r="N87" s="1481"/>
      <c r="O87" s="1001"/>
      <c r="P87" s="1031"/>
      <c r="Q87" s="1031"/>
      <c r="R87" s="956"/>
      <c r="S87" s="1031"/>
      <c r="T87" s="1031"/>
      <c r="U87" s="1031"/>
      <c r="V87" s="1004"/>
    </row>
    <row r="88" spans="1:54" s="127" customFormat="1" ht="59.25" customHeight="1">
      <c r="A88" s="1366" t="s">
        <v>3049</v>
      </c>
      <c r="B88" s="967" t="s">
        <v>1201</v>
      </c>
      <c r="C88" s="1456"/>
      <c r="D88" s="1017"/>
      <c r="E88" s="1094">
        <f>SUM(E90,E94,)</f>
        <v>8</v>
      </c>
      <c r="F88" s="1368">
        <f t="shared" ref="F88:F124" si="43">H88/E88-1</f>
        <v>1.2124999999999999</v>
      </c>
      <c r="G88" s="1094">
        <f t="shared" ref="G88" si="44">SUM(G90,G94,)</f>
        <v>57.240000000000009</v>
      </c>
      <c r="H88" s="1095">
        <f t="shared" ref="H88:M88" si="45">SUM(H90,H94,)</f>
        <v>17.7</v>
      </c>
      <c r="I88" s="1094"/>
      <c r="J88" s="1094">
        <f t="shared" si="45"/>
        <v>0</v>
      </c>
      <c r="K88" s="1095">
        <f t="shared" si="45"/>
        <v>19.7</v>
      </c>
      <c r="L88" s="1095">
        <f t="shared" si="45"/>
        <v>19.7</v>
      </c>
      <c r="M88" s="1095">
        <f t="shared" si="45"/>
        <v>19.7</v>
      </c>
      <c r="N88" s="577" t="s">
        <v>926</v>
      </c>
      <c r="O88" s="1369"/>
      <c r="P88" s="970" t="s">
        <v>1109</v>
      </c>
      <c r="Q88" s="970" t="s">
        <v>928</v>
      </c>
      <c r="R88" s="970" t="s">
        <v>404</v>
      </c>
      <c r="S88" s="970" t="s">
        <v>404</v>
      </c>
      <c r="T88" s="970" t="s">
        <v>404</v>
      </c>
      <c r="U88" s="970" t="s">
        <v>404</v>
      </c>
      <c r="V88" s="970" t="s">
        <v>928</v>
      </c>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row>
    <row r="89" spans="1:54" ht="25.5" customHeight="1">
      <c r="A89" s="2727" t="s">
        <v>2080</v>
      </c>
      <c r="B89" s="2728" t="s">
        <v>1202</v>
      </c>
      <c r="C89" s="2722" t="s">
        <v>1080</v>
      </c>
      <c r="D89" s="1082" t="s">
        <v>471</v>
      </c>
      <c r="E89" s="1051">
        <f>E92</f>
        <v>4.7</v>
      </c>
      <c r="F89" s="1362">
        <f t="shared" si="43"/>
        <v>1.5531914893617018</v>
      </c>
      <c r="G89" s="1051">
        <f>SUM(G92)</f>
        <v>7.7</v>
      </c>
      <c r="H89" s="1053">
        <f>SUM(H92,H91)</f>
        <v>12</v>
      </c>
      <c r="I89" s="1051"/>
      <c r="J89" s="1051"/>
      <c r="K89" s="1053">
        <f>SUM(K91,K92)</f>
        <v>12</v>
      </c>
      <c r="L89" s="1053">
        <f t="shared" ref="L89:M89" si="46">SUM(L91,L92)</f>
        <v>12</v>
      </c>
      <c r="M89" s="1053">
        <f t="shared" si="46"/>
        <v>12</v>
      </c>
      <c r="N89" s="2775" t="s">
        <v>2325</v>
      </c>
      <c r="O89" s="2349" t="s">
        <v>1387</v>
      </c>
      <c r="P89" s="2355" t="s">
        <v>1377</v>
      </c>
      <c r="Q89" s="2344" t="s">
        <v>1371</v>
      </c>
      <c r="R89" s="2342" t="s">
        <v>1338</v>
      </c>
      <c r="S89" s="2342" t="s">
        <v>1338</v>
      </c>
      <c r="T89" s="2342" t="s">
        <v>1338</v>
      </c>
      <c r="U89" s="2343" t="s">
        <v>1338</v>
      </c>
      <c r="V89" s="2342" t="s">
        <v>1414</v>
      </c>
    </row>
    <row r="90" spans="1:54" ht="34.5" customHeight="1">
      <c r="A90" s="2727"/>
      <c r="B90" s="2728"/>
      <c r="C90" s="2722"/>
      <c r="D90" s="1083" t="s">
        <v>1076</v>
      </c>
      <c r="E90" s="1057">
        <f>E89</f>
        <v>4.7</v>
      </c>
      <c r="F90" s="1412">
        <f t="shared" si="43"/>
        <v>1.5531914893617018</v>
      </c>
      <c r="G90" s="1057">
        <f>SUM(G89)</f>
        <v>7.7</v>
      </c>
      <c r="H90" s="1059">
        <f>SUM(H89)</f>
        <v>12</v>
      </c>
      <c r="I90" s="1057"/>
      <c r="J90" s="1057"/>
      <c r="K90" s="1059">
        <f t="shared" ref="K90:M90" si="47">SUM(K89)</f>
        <v>12</v>
      </c>
      <c r="L90" s="1059">
        <f t="shared" si="47"/>
        <v>12</v>
      </c>
      <c r="M90" s="1059">
        <f t="shared" si="47"/>
        <v>12</v>
      </c>
      <c r="N90" s="2775"/>
      <c r="O90" s="2401"/>
      <c r="P90" s="2465"/>
      <c r="Q90" s="2342"/>
      <c r="R90" s="2342"/>
      <c r="S90" s="2342"/>
      <c r="T90" s="2342"/>
      <c r="U90" s="2344"/>
      <c r="V90" s="2342"/>
    </row>
    <row r="91" spans="1:54" s="643" customFormat="1" ht="25.5" hidden="1" customHeight="1">
      <c r="A91" s="1433"/>
      <c r="B91" s="1397" t="s">
        <v>2880</v>
      </c>
      <c r="C91" s="1076"/>
      <c r="D91" s="1458"/>
      <c r="E91" s="1142"/>
      <c r="F91" s="1451"/>
      <c r="G91" s="1142"/>
      <c r="H91" s="993">
        <v>9</v>
      </c>
      <c r="I91" s="1068"/>
      <c r="J91" s="1068"/>
      <c r="K91" s="993">
        <v>0</v>
      </c>
      <c r="L91" s="993">
        <v>9</v>
      </c>
      <c r="M91" s="993">
        <v>0</v>
      </c>
      <c r="N91" s="642"/>
      <c r="O91" s="985" t="s">
        <v>2881</v>
      </c>
      <c r="P91" s="1459"/>
      <c r="Q91" s="1026"/>
      <c r="R91" s="1460"/>
      <c r="S91" s="1460"/>
      <c r="T91" s="1460"/>
      <c r="U91" s="1460"/>
      <c r="V91" s="1460"/>
    </row>
    <row r="92" spans="1:54" s="643" customFormat="1" ht="25.5" hidden="1" customHeight="1">
      <c r="A92" s="1433"/>
      <c r="B92" s="1397" t="s">
        <v>1391</v>
      </c>
      <c r="C92" s="1076"/>
      <c r="D92" s="1141"/>
      <c r="E92" s="1398">
        <v>4.7</v>
      </c>
      <c r="F92" s="1451">
        <f t="shared" si="43"/>
        <v>-0.36170212765957455</v>
      </c>
      <c r="G92" s="1142">
        <v>7.7</v>
      </c>
      <c r="H92" s="993">
        <v>3</v>
      </c>
      <c r="I92" s="1068"/>
      <c r="J92" s="1068"/>
      <c r="K92" s="993">
        <v>12</v>
      </c>
      <c r="L92" s="993">
        <v>3</v>
      </c>
      <c r="M92" s="993">
        <v>12</v>
      </c>
      <c r="N92" s="1478"/>
      <c r="O92" s="1019" t="s">
        <v>1955</v>
      </c>
      <c r="P92" s="988"/>
      <c r="Q92" s="988"/>
      <c r="R92" s="1011"/>
      <c r="S92" s="1011"/>
      <c r="T92" s="1011"/>
      <c r="U92" s="1011"/>
      <c r="V92" s="992"/>
    </row>
    <row r="93" spans="1:54" ht="25.5" customHeight="1">
      <c r="A93" s="2727" t="s">
        <v>2081</v>
      </c>
      <c r="B93" s="2728" t="s">
        <v>1203</v>
      </c>
      <c r="C93" s="2722" t="s">
        <v>1080</v>
      </c>
      <c r="D93" s="1082" t="s">
        <v>471</v>
      </c>
      <c r="E93" s="1051">
        <f>SUM(E95,E97)</f>
        <v>3.3</v>
      </c>
      <c r="F93" s="1361">
        <f t="shared" si="43"/>
        <v>0.72727272727272751</v>
      </c>
      <c r="G93" s="1051">
        <f>SUM(G95:G97)</f>
        <v>49.540000000000006</v>
      </c>
      <c r="H93" s="1053">
        <f>SUM(H95:H97)</f>
        <v>5.7</v>
      </c>
      <c r="I93" s="1051"/>
      <c r="J93" s="1051"/>
      <c r="K93" s="1053">
        <f>SUM(K95,K96,K97,)</f>
        <v>7.7</v>
      </c>
      <c r="L93" s="1053">
        <f t="shared" ref="L93:M93" si="48">SUM(L95,L96,L97,)</f>
        <v>7.7</v>
      </c>
      <c r="M93" s="1053">
        <f t="shared" si="48"/>
        <v>7.7</v>
      </c>
      <c r="N93" s="2485" t="s">
        <v>2325</v>
      </c>
      <c r="O93" s="2349" t="s">
        <v>4238</v>
      </c>
      <c r="P93" s="2344" t="s">
        <v>1378</v>
      </c>
      <c r="Q93" s="2344" t="s">
        <v>1371</v>
      </c>
      <c r="R93" s="2343" t="s">
        <v>1349</v>
      </c>
      <c r="S93" s="2343" t="s">
        <v>1349</v>
      </c>
      <c r="T93" s="2343" t="s">
        <v>1349</v>
      </c>
      <c r="U93" s="2343" t="s">
        <v>1349</v>
      </c>
      <c r="V93" s="2343" t="s">
        <v>1414</v>
      </c>
    </row>
    <row r="94" spans="1:54" ht="44.25" customHeight="1">
      <c r="A94" s="2727"/>
      <c r="B94" s="2729"/>
      <c r="C94" s="2723"/>
      <c r="D94" s="1087" t="s">
        <v>1076</v>
      </c>
      <c r="E94" s="1088">
        <f>E93</f>
        <v>3.3</v>
      </c>
      <c r="F94" s="1412">
        <f t="shared" si="43"/>
        <v>0.72727272727272751</v>
      </c>
      <c r="G94" s="1088">
        <f>SUM(G93)</f>
        <v>49.540000000000006</v>
      </c>
      <c r="H94" s="1089">
        <f>SUM(H93)</f>
        <v>5.7</v>
      </c>
      <c r="I94" s="1057"/>
      <c r="J94" s="1057"/>
      <c r="K94" s="1059">
        <f t="shared" ref="K94:M94" si="49">SUM(K93)</f>
        <v>7.7</v>
      </c>
      <c r="L94" s="1059">
        <f t="shared" si="49"/>
        <v>7.7</v>
      </c>
      <c r="M94" s="1059">
        <f t="shared" si="49"/>
        <v>7.7</v>
      </c>
      <c r="N94" s="2486"/>
      <c r="O94" s="2401"/>
      <c r="P94" s="2342"/>
      <c r="Q94" s="2342"/>
      <c r="R94" s="2344"/>
      <c r="S94" s="2344"/>
      <c r="T94" s="2344"/>
      <c r="U94" s="2344"/>
      <c r="V94" s="2344"/>
    </row>
    <row r="95" spans="1:54" s="643" customFormat="1" ht="25.5" hidden="1" customHeight="1">
      <c r="A95" s="1417"/>
      <c r="B95" s="975" t="s">
        <v>1391</v>
      </c>
      <c r="C95" s="1078"/>
      <c r="D95" s="990"/>
      <c r="E95" s="1398">
        <v>0.3</v>
      </c>
      <c r="F95" s="1432">
        <f t="shared" si="43"/>
        <v>2.3333333333333335</v>
      </c>
      <c r="G95" s="1398">
        <v>36.78</v>
      </c>
      <c r="H95" s="993">
        <v>1</v>
      </c>
      <c r="I95" s="1068"/>
      <c r="J95" s="1068"/>
      <c r="K95" s="989">
        <v>3</v>
      </c>
      <c r="L95" s="989">
        <v>3</v>
      </c>
      <c r="M95" s="989">
        <v>3</v>
      </c>
      <c r="N95" s="1478"/>
      <c r="O95" s="1009" t="s">
        <v>1779</v>
      </c>
      <c r="P95" s="1020"/>
      <c r="Q95" s="1020"/>
      <c r="R95" s="1020"/>
      <c r="S95" s="1020"/>
      <c r="T95" s="1020"/>
      <c r="U95" s="1020"/>
      <c r="V95" s="992"/>
    </row>
    <row r="96" spans="1:54" s="643" customFormat="1" ht="25.5" hidden="1" customHeight="1">
      <c r="A96" s="1417"/>
      <c r="B96" s="975" t="s">
        <v>1393</v>
      </c>
      <c r="C96" s="1078"/>
      <c r="D96" s="990"/>
      <c r="E96" s="1398">
        <v>0.3</v>
      </c>
      <c r="F96" s="1432">
        <f t="shared" si="43"/>
        <v>12.333333333333334</v>
      </c>
      <c r="G96" s="1398">
        <v>9.06</v>
      </c>
      <c r="H96" s="993">
        <v>4</v>
      </c>
      <c r="I96" s="1068"/>
      <c r="J96" s="1068"/>
      <c r="K96" s="989">
        <v>4</v>
      </c>
      <c r="L96" s="989">
        <v>4</v>
      </c>
      <c r="M96" s="989">
        <v>4</v>
      </c>
      <c r="N96" s="1478"/>
      <c r="O96" s="1009" t="s">
        <v>1956</v>
      </c>
      <c r="P96" s="1020"/>
      <c r="Q96" s="1020"/>
      <c r="R96" s="1020"/>
      <c r="S96" s="1020"/>
      <c r="T96" s="1020"/>
      <c r="U96" s="1020"/>
      <c r="V96" s="992"/>
    </row>
    <row r="97" spans="1:22" s="643" customFormat="1" ht="25.5" hidden="1" customHeight="1">
      <c r="A97" s="1417"/>
      <c r="B97" s="975" t="s">
        <v>1392</v>
      </c>
      <c r="C97" s="1078"/>
      <c r="D97" s="990"/>
      <c r="E97" s="1398">
        <v>3</v>
      </c>
      <c r="F97" s="1432">
        <f t="shared" si="43"/>
        <v>-0.76666666666666672</v>
      </c>
      <c r="G97" s="1398">
        <v>3.7</v>
      </c>
      <c r="H97" s="993">
        <v>0.7</v>
      </c>
      <c r="I97" s="1068"/>
      <c r="J97" s="1068">
        <v>0.57999999999999996</v>
      </c>
      <c r="K97" s="989">
        <v>0.7</v>
      </c>
      <c r="L97" s="989">
        <v>0.7</v>
      </c>
      <c r="M97" s="989">
        <v>0.7</v>
      </c>
      <c r="N97" s="1478"/>
      <c r="O97" s="1009" t="s">
        <v>1957</v>
      </c>
      <c r="P97" s="1020"/>
      <c r="Q97" s="1020"/>
      <c r="R97" s="1020"/>
      <c r="S97" s="1020"/>
      <c r="T97" s="1020"/>
      <c r="U97" s="1020"/>
      <c r="V97" s="992"/>
    </row>
    <row r="98" spans="1:22" s="193" customFormat="1" ht="105.75" customHeight="1">
      <c r="A98" s="1461" t="s">
        <v>2082</v>
      </c>
      <c r="B98" s="967" t="s">
        <v>1204</v>
      </c>
      <c r="C98" s="1462"/>
      <c r="D98" s="1017"/>
      <c r="E98" s="1463">
        <f>SUM(E100,E105,E110)</f>
        <v>71.949999999999989</v>
      </c>
      <c r="F98" s="1463">
        <f t="shared" si="43"/>
        <v>0.43293954134815849</v>
      </c>
      <c r="G98" s="1463">
        <f t="shared" ref="G98:L98" si="50">SUM(G100,G105,G110)</f>
        <v>102.42999999999999</v>
      </c>
      <c r="H98" s="1464">
        <f>SUM(H100,H105,H110)</f>
        <v>103.1</v>
      </c>
      <c r="I98" s="1094"/>
      <c r="J98" s="1094"/>
      <c r="K98" s="1095">
        <f t="shared" si="50"/>
        <v>222.3</v>
      </c>
      <c r="L98" s="1095">
        <f t="shared" si="50"/>
        <v>134.399</v>
      </c>
      <c r="M98" s="1095"/>
      <c r="N98" s="577" t="s">
        <v>926</v>
      </c>
      <c r="O98" s="1006"/>
      <c r="P98" s="970" t="s">
        <v>1109</v>
      </c>
      <c r="Q98" s="1007" t="s">
        <v>928</v>
      </c>
      <c r="R98" s="970" t="s">
        <v>1366</v>
      </c>
      <c r="S98" s="970" t="s">
        <v>1366</v>
      </c>
      <c r="T98" s="970" t="s">
        <v>1775</v>
      </c>
      <c r="U98" s="970" t="s">
        <v>404</v>
      </c>
      <c r="V98" s="970" t="s">
        <v>928</v>
      </c>
    </row>
    <row r="99" spans="1:22" ht="25.5" customHeight="1">
      <c r="A99" s="2727" t="s">
        <v>2083</v>
      </c>
      <c r="B99" s="2728" t="s">
        <v>1205</v>
      </c>
      <c r="C99" s="2722" t="s">
        <v>1080</v>
      </c>
      <c r="D99" s="1082" t="s">
        <v>471</v>
      </c>
      <c r="E99" s="1051">
        <f>SUM(E101,E102)</f>
        <v>1.5499999999999998</v>
      </c>
      <c r="F99" s="1362">
        <f t="shared" si="43"/>
        <v>11.38709677419355</v>
      </c>
      <c r="G99" s="1051">
        <f>SUM(G101:G102)</f>
        <v>3.6</v>
      </c>
      <c r="H99" s="1053">
        <f>SUM(H101,H102,H103)</f>
        <v>19.2</v>
      </c>
      <c r="I99" s="1051">
        <f t="shared" ref="I99:J99" si="51">SUM(I101,I102,I103)</f>
        <v>0</v>
      </c>
      <c r="J99" s="1051">
        <f t="shared" si="51"/>
        <v>6.4399999999999995</v>
      </c>
      <c r="K99" s="1053">
        <f>SUM(K101,K102,K103)</f>
        <v>21.8</v>
      </c>
      <c r="L99" s="1053">
        <f t="shared" ref="L99:M99" si="52">SUM(L101,L102,L103)</f>
        <v>20.399999999999999</v>
      </c>
      <c r="M99" s="1053">
        <f t="shared" si="52"/>
        <v>20.399999999999999</v>
      </c>
      <c r="N99" s="2485" t="s">
        <v>2308</v>
      </c>
      <c r="O99" s="2349" t="s">
        <v>1958</v>
      </c>
      <c r="P99" s="2344" t="s">
        <v>1379</v>
      </c>
      <c r="Q99" s="2344" t="s">
        <v>2988</v>
      </c>
      <c r="R99" s="2344" t="s">
        <v>1338</v>
      </c>
      <c r="S99" s="2344" t="s">
        <v>1338</v>
      </c>
      <c r="T99" s="2344" t="s">
        <v>393</v>
      </c>
      <c r="U99" s="2343" t="s">
        <v>1349</v>
      </c>
      <c r="V99" s="2342" t="s">
        <v>1414</v>
      </c>
    </row>
    <row r="100" spans="1:22" ht="31.5" customHeight="1">
      <c r="A100" s="2727"/>
      <c r="B100" s="2728"/>
      <c r="C100" s="2722"/>
      <c r="D100" s="1083" t="s">
        <v>1076</v>
      </c>
      <c r="E100" s="1057">
        <f>E99</f>
        <v>1.5499999999999998</v>
      </c>
      <c r="F100" s="1412">
        <f>H100/E100-1</f>
        <v>11.38709677419355</v>
      </c>
      <c r="G100" s="1057">
        <f>SUM(G99)</f>
        <v>3.6</v>
      </c>
      <c r="H100" s="1059">
        <f>SUM(H99)</f>
        <v>19.2</v>
      </c>
      <c r="I100" s="1057">
        <f t="shared" ref="I100:M100" si="53">SUM(I99)</f>
        <v>0</v>
      </c>
      <c r="J100" s="1057">
        <f t="shared" si="53"/>
        <v>6.4399999999999995</v>
      </c>
      <c r="K100" s="1059">
        <f t="shared" si="53"/>
        <v>21.8</v>
      </c>
      <c r="L100" s="1059">
        <f t="shared" si="53"/>
        <v>20.399999999999999</v>
      </c>
      <c r="M100" s="1059">
        <f t="shared" si="53"/>
        <v>20.399999999999999</v>
      </c>
      <c r="N100" s="2486"/>
      <c r="O100" s="2401"/>
      <c r="P100" s="2342"/>
      <c r="Q100" s="2342"/>
      <c r="R100" s="2342"/>
      <c r="S100" s="2342"/>
      <c r="T100" s="2342"/>
      <c r="U100" s="2344"/>
      <c r="V100" s="2342"/>
    </row>
    <row r="101" spans="1:22" s="643" customFormat="1" ht="25.5" hidden="1" customHeight="1">
      <c r="A101" s="1417"/>
      <c r="B101" s="975" t="s">
        <v>1391</v>
      </c>
      <c r="C101" s="1078"/>
      <c r="D101" s="1022"/>
      <c r="E101" s="1398">
        <v>1.2</v>
      </c>
      <c r="F101" s="1451">
        <f t="shared" si="43"/>
        <v>11.833333333333334</v>
      </c>
      <c r="G101" s="1398">
        <v>0.45</v>
      </c>
      <c r="H101" s="993">
        <v>15.4</v>
      </c>
      <c r="I101" s="1068"/>
      <c r="J101" s="1068"/>
      <c r="K101" s="989">
        <v>15.4</v>
      </c>
      <c r="L101" s="989">
        <v>15.4</v>
      </c>
      <c r="M101" s="989">
        <v>15.4</v>
      </c>
      <c r="N101" s="1478"/>
      <c r="O101" s="989" t="s">
        <v>3817</v>
      </c>
      <c r="P101" s="1020"/>
      <c r="Q101" s="988"/>
      <c r="R101" s="988"/>
      <c r="S101" s="988"/>
      <c r="T101" s="988"/>
      <c r="U101" s="988"/>
      <c r="V101" s="992"/>
    </row>
    <row r="102" spans="1:22" s="643" customFormat="1" ht="25.5" hidden="1" customHeight="1">
      <c r="A102" s="1417"/>
      <c r="B102" s="975" t="s">
        <v>1392</v>
      </c>
      <c r="C102" s="1078"/>
      <c r="D102" s="1022"/>
      <c r="E102" s="1142">
        <v>0.35</v>
      </c>
      <c r="F102" s="1451">
        <f t="shared" si="43"/>
        <v>4.7142857142857144</v>
      </c>
      <c r="G102" s="1398">
        <v>3.15</v>
      </c>
      <c r="H102" s="993">
        <v>2</v>
      </c>
      <c r="I102" s="1068"/>
      <c r="J102" s="1068">
        <v>1.44</v>
      </c>
      <c r="K102" s="989">
        <v>1.4</v>
      </c>
      <c r="L102" s="989">
        <v>0</v>
      </c>
      <c r="M102" s="989">
        <v>0</v>
      </c>
      <c r="N102" s="1478"/>
      <c r="O102" s="1009"/>
      <c r="P102" s="1020"/>
      <c r="Q102" s="988"/>
      <c r="R102" s="988"/>
      <c r="S102" s="988"/>
      <c r="T102" s="988"/>
      <c r="U102" s="988"/>
      <c r="V102" s="992"/>
    </row>
    <row r="103" spans="1:22" s="643" customFormat="1" ht="25.5" hidden="1" customHeight="1">
      <c r="A103" s="1417"/>
      <c r="B103" s="1417" t="s">
        <v>506</v>
      </c>
      <c r="C103" s="1364"/>
      <c r="D103" s="1364"/>
      <c r="E103" s="1465"/>
      <c r="F103" s="1451"/>
      <c r="G103" s="1398"/>
      <c r="H103" s="993">
        <v>1.8</v>
      </c>
      <c r="I103" s="1068"/>
      <c r="J103" s="1068">
        <v>5</v>
      </c>
      <c r="K103" s="989">
        <v>5</v>
      </c>
      <c r="L103" s="989">
        <v>5</v>
      </c>
      <c r="M103" s="989">
        <v>5</v>
      </c>
      <c r="N103" s="1482"/>
      <c r="O103" s="1466" t="s">
        <v>3373</v>
      </c>
      <c r="P103" s="1020"/>
      <c r="Q103" s="988"/>
      <c r="R103" s="988"/>
      <c r="S103" s="988"/>
      <c r="T103" s="988"/>
      <c r="U103" s="1441"/>
      <c r="V103" s="995"/>
    </row>
    <row r="104" spans="1:22" ht="25.5" customHeight="1">
      <c r="A104" s="2746" t="s">
        <v>2084</v>
      </c>
      <c r="B104" s="2795" t="s">
        <v>1207</v>
      </c>
      <c r="C104" s="2752" t="s">
        <v>1080</v>
      </c>
      <c r="D104" s="1098" t="s">
        <v>471</v>
      </c>
      <c r="E104" s="1099">
        <f>SUM(E106,E108)</f>
        <v>40.4</v>
      </c>
      <c r="F104" s="1361">
        <f t="shared" si="43"/>
        <v>0.24752475247524752</v>
      </c>
      <c r="G104" s="1051">
        <f>SUM(G106:G108)</f>
        <v>63.08</v>
      </c>
      <c r="H104" s="1053">
        <f>SUM(H106:H108)</f>
        <v>50.4</v>
      </c>
      <c r="I104" s="1051"/>
      <c r="J104" s="1051"/>
      <c r="K104" s="1053">
        <f>SUM(K106:K108)</f>
        <v>146</v>
      </c>
      <c r="L104" s="1053">
        <f t="shared" ref="L104:M104" si="54">SUM(L106:L108)</f>
        <v>55.5</v>
      </c>
      <c r="M104" s="1053">
        <f t="shared" si="54"/>
        <v>55.5</v>
      </c>
      <c r="N104" s="2485" t="s">
        <v>2308</v>
      </c>
      <c r="O104" s="2349" t="s">
        <v>4237</v>
      </c>
      <c r="P104" s="2344" t="s">
        <v>1380</v>
      </c>
      <c r="Q104" s="2344" t="s">
        <v>2990</v>
      </c>
      <c r="R104" s="2344" t="s">
        <v>324</v>
      </c>
      <c r="S104" s="2344" t="s">
        <v>324</v>
      </c>
      <c r="T104" s="2344" t="s">
        <v>324</v>
      </c>
      <c r="U104" s="2345" t="s">
        <v>324</v>
      </c>
      <c r="V104" s="2343" t="s">
        <v>2309</v>
      </c>
    </row>
    <row r="105" spans="1:22" ht="33" customHeight="1">
      <c r="A105" s="2727"/>
      <c r="B105" s="2728"/>
      <c r="C105" s="2722"/>
      <c r="D105" s="1083" t="s">
        <v>1076</v>
      </c>
      <c r="E105" s="1057">
        <f>E104</f>
        <v>40.4</v>
      </c>
      <c r="F105" s="1412">
        <f t="shared" si="43"/>
        <v>0.24752475247524752</v>
      </c>
      <c r="G105" s="1057">
        <f>SUM(G104)</f>
        <v>63.08</v>
      </c>
      <c r="H105" s="1059">
        <f>SUM(H104)</f>
        <v>50.4</v>
      </c>
      <c r="I105" s="1057"/>
      <c r="J105" s="1057"/>
      <c r="K105" s="1059">
        <f t="shared" ref="K105:L105" si="55">SUM(K104)</f>
        <v>146</v>
      </c>
      <c r="L105" s="1059">
        <f t="shared" si="55"/>
        <v>55.5</v>
      </c>
      <c r="M105" s="1059">
        <f>M104</f>
        <v>55.5</v>
      </c>
      <c r="N105" s="2486"/>
      <c r="O105" s="2401"/>
      <c r="P105" s="2342"/>
      <c r="Q105" s="2342"/>
      <c r="R105" s="2342"/>
      <c r="S105" s="2342"/>
      <c r="T105" s="2342"/>
      <c r="U105" s="2344"/>
      <c r="V105" s="2344"/>
    </row>
    <row r="106" spans="1:22" s="643" customFormat="1" ht="25.5" hidden="1" customHeight="1">
      <c r="A106" s="1417"/>
      <c r="B106" s="975" t="s">
        <v>1391</v>
      </c>
      <c r="C106" s="1078"/>
      <c r="D106" s="990"/>
      <c r="E106" s="1398">
        <v>40</v>
      </c>
      <c r="F106" s="1432">
        <f t="shared" si="43"/>
        <v>0</v>
      </c>
      <c r="G106" s="1068">
        <v>50</v>
      </c>
      <c r="H106" s="989">
        <v>40</v>
      </c>
      <c r="I106" s="1068"/>
      <c r="J106" s="1068"/>
      <c r="K106" s="989">
        <v>130</v>
      </c>
      <c r="L106" s="989">
        <v>45</v>
      </c>
      <c r="M106" s="989">
        <v>45</v>
      </c>
      <c r="N106" s="1478"/>
      <c r="O106" s="989"/>
      <c r="P106" s="1020"/>
      <c r="Q106" s="1020"/>
      <c r="R106" s="1020"/>
      <c r="S106" s="1020"/>
      <c r="T106" s="1020"/>
      <c r="U106" s="1020"/>
      <c r="V106" s="1011"/>
    </row>
    <row r="107" spans="1:22" s="643" customFormat="1" ht="25.5" hidden="1" customHeight="1">
      <c r="A107" s="1417"/>
      <c r="B107" s="1392" t="s">
        <v>1390</v>
      </c>
      <c r="C107" s="1393"/>
      <c r="D107" s="1072"/>
      <c r="E107" s="1068">
        <v>8</v>
      </c>
      <c r="F107" s="1432">
        <f t="shared" si="43"/>
        <v>0.25</v>
      </c>
      <c r="G107" s="1068">
        <v>12</v>
      </c>
      <c r="H107" s="989">
        <v>10</v>
      </c>
      <c r="I107" s="1068"/>
      <c r="J107" s="1068"/>
      <c r="K107" s="989">
        <v>15</v>
      </c>
      <c r="L107" s="989">
        <v>10</v>
      </c>
      <c r="M107" s="989">
        <v>10</v>
      </c>
      <c r="N107" s="1478"/>
      <c r="O107" s="1009" t="s">
        <v>3374</v>
      </c>
      <c r="P107" s="1020"/>
      <c r="Q107" s="1014"/>
      <c r="R107" s="1014"/>
      <c r="S107" s="1014"/>
      <c r="T107" s="1014"/>
      <c r="U107" s="1467"/>
      <c r="V107" s="1468"/>
    </row>
    <row r="108" spans="1:22" s="643" customFormat="1" ht="25.5" hidden="1" customHeight="1">
      <c r="A108" s="1417"/>
      <c r="B108" s="975" t="s">
        <v>1392</v>
      </c>
      <c r="C108" s="1078"/>
      <c r="D108" s="990"/>
      <c r="E108" s="1398">
        <v>0.4</v>
      </c>
      <c r="F108" s="1432">
        <f t="shared" si="43"/>
        <v>0</v>
      </c>
      <c r="G108" s="1398">
        <v>1.08</v>
      </c>
      <c r="H108" s="993">
        <v>0.4</v>
      </c>
      <c r="I108" s="1068"/>
      <c r="J108" s="1068">
        <v>1</v>
      </c>
      <c r="K108" s="989">
        <v>1</v>
      </c>
      <c r="L108" s="989">
        <v>0.5</v>
      </c>
      <c r="M108" s="989">
        <v>0.5</v>
      </c>
      <c r="N108" s="1478"/>
      <c r="O108" s="989"/>
      <c r="P108" s="1020"/>
      <c r="Q108" s="1020"/>
      <c r="R108" s="1020"/>
      <c r="S108" s="1020"/>
      <c r="T108" s="1020"/>
      <c r="U108" s="1020"/>
      <c r="V108" s="1011"/>
    </row>
    <row r="109" spans="1:22" ht="25.5" customHeight="1">
      <c r="A109" s="2727" t="s">
        <v>2085</v>
      </c>
      <c r="B109" s="2728" t="s">
        <v>1206</v>
      </c>
      <c r="C109" s="2722" t="s">
        <v>1080</v>
      </c>
      <c r="D109" s="1082" t="s">
        <v>471</v>
      </c>
      <c r="E109" s="1051">
        <f>SUM(E111,E112,E113,)</f>
        <v>30</v>
      </c>
      <c r="F109" s="1361">
        <f t="shared" si="43"/>
        <v>0.1166666666666667</v>
      </c>
      <c r="G109" s="1051">
        <f>SUM(G111:G113)</f>
        <v>35.75</v>
      </c>
      <c r="H109" s="1053">
        <f>SUM(H111:H113)</f>
        <v>33.5</v>
      </c>
      <c r="I109" s="1051"/>
      <c r="J109" s="1051"/>
      <c r="K109" s="1053">
        <f>SUM(K111:K113)</f>
        <v>54.5</v>
      </c>
      <c r="L109" s="1053">
        <f t="shared" ref="L109:M109" si="56">SUM(L111:L113)</f>
        <v>58.499000000000002</v>
      </c>
      <c r="M109" s="1053">
        <f t="shared" si="56"/>
        <v>59.5</v>
      </c>
      <c r="N109" s="2485" t="s">
        <v>2308</v>
      </c>
      <c r="O109" s="2349" t="s">
        <v>2989</v>
      </c>
      <c r="P109" s="2344" t="s">
        <v>1381</v>
      </c>
      <c r="Q109" s="2344" t="s">
        <v>1370</v>
      </c>
      <c r="R109" s="2343" t="s">
        <v>324</v>
      </c>
      <c r="S109" s="2343" t="s">
        <v>324</v>
      </c>
      <c r="T109" s="2343" t="s">
        <v>324</v>
      </c>
      <c r="U109" s="2343" t="s">
        <v>324</v>
      </c>
      <c r="V109" s="2343" t="s">
        <v>2309</v>
      </c>
    </row>
    <row r="110" spans="1:22" ht="33.75" customHeight="1">
      <c r="A110" s="2727"/>
      <c r="B110" s="2729"/>
      <c r="C110" s="2723"/>
      <c r="D110" s="1087" t="s">
        <v>1076</v>
      </c>
      <c r="E110" s="1088">
        <f>E109</f>
        <v>30</v>
      </c>
      <c r="F110" s="1412">
        <f t="shared" si="43"/>
        <v>0.1166666666666667</v>
      </c>
      <c r="G110" s="1088">
        <f>SUM(G109)</f>
        <v>35.75</v>
      </c>
      <c r="H110" s="1089">
        <f>SUM(H109)</f>
        <v>33.5</v>
      </c>
      <c r="I110" s="1057"/>
      <c r="J110" s="1057"/>
      <c r="K110" s="1059">
        <f t="shared" ref="K110:L110" si="57">SUM(K109)</f>
        <v>54.5</v>
      </c>
      <c r="L110" s="1059">
        <f t="shared" si="57"/>
        <v>58.499000000000002</v>
      </c>
      <c r="M110" s="1059">
        <f>M109</f>
        <v>59.5</v>
      </c>
      <c r="N110" s="2486"/>
      <c r="O110" s="2401"/>
      <c r="P110" s="2342"/>
      <c r="Q110" s="2342"/>
      <c r="R110" s="2344"/>
      <c r="S110" s="2344"/>
      <c r="T110" s="2344"/>
      <c r="U110" s="2344"/>
      <c r="V110" s="2344"/>
    </row>
    <row r="111" spans="1:22" s="643" customFormat="1" ht="25.5" hidden="1" customHeight="1">
      <c r="A111" s="1417"/>
      <c r="B111" s="1392" t="s">
        <v>1390</v>
      </c>
      <c r="C111" s="1393"/>
      <c r="D111" s="1072"/>
      <c r="E111" s="1068">
        <v>8</v>
      </c>
      <c r="F111" s="1432">
        <f t="shared" si="43"/>
        <v>0</v>
      </c>
      <c r="G111" s="1068"/>
      <c r="H111" s="1068">
        <v>8</v>
      </c>
      <c r="I111" s="1068"/>
      <c r="J111" s="1068"/>
      <c r="K111" s="989">
        <v>14</v>
      </c>
      <c r="L111" s="989">
        <v>13.999000000000001</v>
      </c>
      <c r="M111" s="989">
        <v>14</v>
      </c>
      <c r="N111" s="1478"/>
      <c r="O111" s="1009" t="s">
        <v>3375</v>
      </c>
      <c r="P111" s="1020"/>
      <c r="Q111" s="1014"/>
      <c r="R111" s="1014"/>
      <c r="S111" s="1014"/>
      <c r="T111" s="1014"/>
      <c r="U111" s="1467"/>
      <c r="V111" s="1468"/>
    </row>
    <row r="112" spans="1:22" s="643" customFormat="1" ht="25.5" hidden="1" customHeight="1">
      <c r="A112" s="1417"/>
      <c r="B112" s="1392" t="s">
        <v>1391</v>
      </c>
      <c r="C112" s="1393"/>
      <c r="D112" s="1072"/>
      <c r="E112" s="1068">
        <v>21.5</v>
      </c>
      <c r="F112" s="1432">
        <f t="shared" si="43"/>
        <v>0.16279069767441867</v>
      </c>
      <c r="G112" s="1068">
        <v>35</v>
      </c>
      <c r="H112" s="989">
        <v>25</v>
      </c>
      <c r="I112" s="1068"/>
      <c r="J112" s="1068"/>
      <c r="K112" s="989">
        <v>40</v>
      </c>
      <c r="L112" s="989">
        <v>44</v>
      </c>
      <c r="M112" s="989">
        <v>45</v>
      </c>
      <c r="N112" s="1478"/>
      <c r="O112" s="989" t="s">
        <v>1780</v>
      </c>
      <c r="P112" s="1020"/>
      <c r="Q112" s="1014"/>
      <c r="R112" s="1014"/>
      <c r="S112" s="1014"/>
      <c r="T112" s="1014"/>
      <c r="U112" s="1467"/>
      <c r="V112" s="1468"/>
    </row>
    <row r="113" spans="1:25" s="643" customFormat="1" ht="25.5" hidden="1" customHeight="1">
      <c r="A113" s="1391"/>
      <c r="B113" s="1397" t="s">
        <v>1392</v>
      </c>
      <c r="C113" s="1076"/>
      <c r="D113" s="1141"/>
      <c r="E113" s="1068">
        <v>0.5</v>
      </c>
      <c r="F113" s="1432">
        <f t="shared" si="43"/>
        <v>0</v>
      </c>
      <c r="G113" s="1068">
        <v>0.75</v>
      </c>
      <c r="H113" s="989">
        <v>0.5</v>
      </c>
      <c r="I113" s="1068"/>
      <c r="J113" s="1068">
        <v>0.8</v>
      </c>
      <c r="K113" s="989">
        <v>0.5</v>
      </c>
      <c r="L113" s="989">
        <v>0.5</v>
      </c>
      <c r="M113" s="989">
        <v>0.5</v>
      </c>
      <c r="N113" s="1478"/>
      <c r="O113" s="989" t="s">
        <v>1777</v>
      </c>
      <c r="P113" s="1020"/>
      <c r="Q113" s="1014"/>
      <c r="R113" s="1014"/>
      <c r="S113" s="1014"/>
      <c r="T113" s="1014"/>
      <c r="U113" s="1467"/>
      <c r="V113" s="1468"/>
    </row>
    <row r="114" spans="1:25" ht="66.75" customHeight="1">
      <c r="A114" s="2391"/>
      <c r="B114" s="2391"/>
      <c r="C114" s="2391"/>
      <c r="D114" s="2391"/>
      <c r="E114" s="1197" t="s">
        <v>1091</v>
      </c>
      <c r="F114" s="1197"/>
      <c r="G114" s="1197" t="str">
        <f>G14</f>
        <v>2024  m.asignavimų poreikis</v>
      </c>
      <c r="H114" s="1198" t="str">
        <f>H14</f>
        <v>2024  m.asignavimai ir kitos lėšos, tūkst. Eur</v>
      </c>
      <c r="I114" s="1197" t="s">
        <v>3099</v>
      </c>
      <c r="J114" s="1197" t="s">
        <v>3100</v>
      </c>
      <c r="K114" s="186" t="str">
        <f>K14</f>
        <v>2025 m. asignavimai ir kitos lėšos, tūkst. Eur</v>
      </c>
      <c r="L114" s="186" t="str">
        <f>L14</f>
        <v>2026 m. asignavimai ir kitos lėšos, tūkst. Eur</v>
      </c>
      <c r="M114" s="194" t="s">
        <v>3097</v>
      </c>
      <c r="N114" s="2793"/>
      <c r="O114" s="2794"/>
      <c r="P114" s="2794"/>
      <c r="Q114" s="2794"/>
      <c r="R114" s="2794"/>
      <c r="S114" s="2794"/>
      <c r="T114" s="2794"/>
      <c r="U114" s="2794"/>
      <c r="V114" s="2374"/>
    </row>
    <row r="115" spans="1:25" ht="25.5" customHeight="1">
      <c r="A115" s="2796"/>
      <c r="B115" s="2388" t="s">
        <v>722</v>
      </c>
      <c r="C115" s="2388"/>
      <c r="D115" s="2388"/>
      <c r="E115" s="1469" t="e">
        <f>E116+E117+E119+E120+E121+E122</f>
        <v>#REF!</v>
      </c>
      <c r="F115" s="1361" t="e">
        <f t="shared" si="43"/>
        <v>#REF!</v>
      </c>
      <c r="G115" s="1470" t="e">
        <f>SUM(G116:G122)</f>
        <v>#REF!</v>
      </c>
      <c r="H115" s="1084">
        <f>H116+H117+H119+H120+H121+H122</f>
        <v>1986.1569999999999</v>
      </c>
      <c r="I115" s="1470"/>
      <c r="J115" s="1470">
        <f t="shared" ref="J115:L115" si="58">J116+J117+J119+J120+J121+J122</f>
        <v>1947.18</v>
      </c>
      <c r="K115" s="1084">
        <f t="shared" si="58"/>
        <v>2203.616</v>
      </c>
      <c r="L115" s="1084">
        <f t="shared" si="58"/>
        <v>2130.1549999999997</v>
      </c>
      <c r="M115" s="1055">
        <f>M116+M117+M119+M120+M121+M122</f>
        <v>2194.3359999999998</v>
      </c>
      <c r="N115" s="1332"/>
      <c r="O115" s="1471"/>
      <c r="P115" s="1471"/>
      <c r="Q115" s="1471"/>
      <c r="R115" s="1471"/>
      <c r="S115" s="1471"/>
      <c r="T115" s="1471"/>
      <c r="U115" s="1471"/>
      <c r="V115" s="1471"/>
    </row>
    <row r="116" spans="1:25" ht="34.5" customHeight="1">
      <c r="A116" s="2797"/>
      <c r="B116" s="2368" t="s">
        <v>2027</v>
      </c>
      <c r="C116" s="2368"/>
      <c r="D116" s="2368"/>
      <c r="E116" s="1472" t="e">
        <f>SUM(E17,E37,E42,E48,E53,E57,E62,E66,E71,E75,E81,E89,E93,E99,E104,E109)</f>
        <v>#REF!</v>
      </c>
      <c r="F116" s="1361" t="e">
        <f t="shared" si="43"/>
        <v>#REF!</v>
      </c>
      <c r="G116" s="1470" t="e">
        <f>SUM(G17,G37,G42,G48,G53,G57,G62,G66,G71,G75,G81,G89,G93,G99,G104,G109,)</f>
        <v>#REF!</v>
      </c>
      <c r="H116" s="1084">
        <f>SUM(H17,H37,H42,H48,H53,H57,H62,H66,H71,H75,H89,H93,H99,H104,H109,)</f>
        <v>1847.25</v>
      </c>
      <c r="I116" s="1084"/>
      <c r="J116" s="1470">
        <f>SUM(J17,J37,J42,J48,J53,J57,J62,J66,J71,J75,J89,J93,J99,J104,J109,)</f>
        <v>1872.28</v>
      </c>
      <c r="K116" s="1084">
        <f>SUM(K17,K37,K42,K48,K53,K57,K62,K66,K71,K75,K89,K93,K99,K104,K109,K82)</f>
        <v>2129.44</v>
      </c>
      <c r="L116" s="1084">
        <f t="shared" ref="L116:M116" si="59">SUM(L17,L37,L42,L48,L53,L57,L62,L66,L71,L75,L89,L93,L99,L104,L109,L82)</f>
        <v>2051.6790000000001</v>
      </c>
      <c r="M116" s="1055">
        <f t="shared" si="59"/>
        <v>2111.56</v>
      </c>
      <c r="N116" s="1332"/>
      <c r="O116" s="1471"/>
      <c r="P116" s="1471"/>
      <c r="Q116" s="1471"/>
      <c r="R116" s="1471"/>
      <c r="S116" s="1471"/>
      <c r="T116" s="1471"/>
      <c r="U116" s="1471"/>
      <c r="V116" s="1471"/>
    </row>
    <row r="117" spans="1:25" ht="25.5" customHeight="1">
      <c r="A117" s="2797"/>
      <c r="B117" s="2368" t="s">
        <v>724</v>
      </c>
      <c r="C117" s="2368"/>
      <c r="D117" s="2368"/>
      <c r="E117" s="1472">
        <f>SUM(E20)</f>
        <v>23.091999999999999</v>
      </c>
      <c r="F117" s="1361">
        <f t="shared" si="43"/>
        <v>0.10358565737051806</v>
      </c>
      <c r="G117" s="1051">
        <f>SUM(G20)</f>
        <v>23.78</v>
      </c>
      <c r="H117" s="1053">
        <f>SUM(H20)</f>
        <v>25.484000000000002</v>
      </c>
      <c r="I117" s="1053"/>
      <c r="J117" s="1051">
        <f>SUM(J20)</f>
        <v>26</v>
      </c>
      <c r="K117" s="1053">
        <f>SUM(K20)</f>
        <v>25.276</v>
      </c>
      <c r="L117" s="1053">
        <f t="shared" ref="L117:M117" si="60">SUM(L20)</f>
        <v>25.276</v>
      </c>
      <c r="M117" s="1053">
        <f t="shared" si="60"/>
        <v>25.276</v>
      </c>
      <c r="N117" s="1332"/>
      <c r="O117" s="1471"/>
      <c r="P117" s="1471"/>
      <c r="Q117" s="1471"/>
      <c r="R117" s="1471"/>
      <c r="S117" s="1471"/>
      <c r="T117" s="1471"/>
      <c r="U117" s="1471"/>
      <c r="V117" s="1471"/>
    </row>
    <row r="118" spans="1:25" ht="25.5" hidden="1" customHeight="1">
      <c r="A118" s="2797"/>
      <c r="B118" s="2790" t="s">
        <v>4152</v>
      </c>
      <c r="C118" s="2791"/>
      <c r="D118" s="2792"/>
      <c r="E118" s="1473"/>
      <c r="F118" s="1447"/>
      <c r="G118" s="1127"/>
      <c r="H118" s="1005">
        <f>H117</f>
        <v>25.484000000000002</v>
      </c>
      <c r="I118" s="1127"/>
      <c r="J118" s="1127"/>
      <c r="K118" s="1005"/>
      <c r="L118" s="1474"/>
      <c r="M118" s="1005"/>
      <c r="N118" s="1332"/>
      <c r="O118" s="1471"/>
      <c r="P118" s="1471"/>
      <c r="Q118" s="1471"/>
      <c r="R118" s="1471"/>
      <c r="S118" s="1471"/>
      <c r="T118" s="1471"/>
      <c r="U118" s="1471"/>
      <c r="V118" s="1471"/>
    </row>
    <row r="119" spans="1:25" ht="25.5" customHeight="1">
      <c r="A119" s="2797"/>
      <c r="B119" s="2368" t="s">
        <v>725</v>
      </c>
      <c r="C119" s="2368"/>
      <c r="D119" s="2368"/>
      <c r="E119" s="1472">
        <f>SUM(E18)</f>
        <v>55.830000000000005</v>
      </c>
      <c r="F119" s="1361">
        <f t="shared" si="43"/>
        <v>0.16245746014687446</v>
      </c>
      <c r="G119" s="1051">
        <f>SUM(G18)</f>
        <v>41.6</v>
      </c>
      <c r="H119" s="1053">
        <f>SUM(H18)</f>
        <v>64.900000000000006</v>
      </c>
      <c r="I119" s="1053"/>
      <c r="J119" s="1051">
        <f>SUM(J18)</f>
        <v>48.9</v>
      </c>
      <c r="K119" s="1053">
        <f>SUM(K18)</f>
        <v>48.9</v>
      </c>
      <c r="L119" s="1053">
        <f t="shared" ref="L119:M119" si="61">SUM(L18)</f>
        <v>53.199999999999996</v>
      </c>
      <c r="M119" s="1053">
        <f t="shared" si="61"/>
        <v>57.5</v>
      </c>
      <c r="N119" s="1332"/>
      <c r="O119" s="1471"/>
      <c r="P119" s="1471"/>
      <c r="Q119" s="1471"/>
      <c r="R119" s="1471"/>
      <c r="S119" s="1471"/>
      <c r="T119" s="1471"/>
      <c r="U119" s="1471"/>
      <c r="V119" s="1471"/>
      <c r="Y119" s="116"/>
    </row>
    <row r="120" spans="1:25" ht="25.5" customHeight="1">
      <c r="A120" s="2797"/>
      <c r="B120" s="2368" t="s">
        <v>2861</v>
      </c>
      <c r="C120" s="2368"/>
      <c r="D120" s="2368"/>
      <c r="E120" s="1472">
        <v>0</v>
      </c>
      <c r="F120" s="1361"/>
      <c r="G120" s="1051">
        <f>SUM(G21,G83,)</f>
        <v>0</v>
      </c>
      <c r="H120" s="1053">
        <f>SUM(H21,H83,)</f>
        <v>0</v>
      </c>
      <c r="I120" s="1053"/>
      <c r="J120" s="1051">
        <f>SUM(J21,J83,)</f>
        <v>0</v>
      </c>
      <c r="K120" s="1053">
        <f>SUM(K21,K83,)</f>
        <v>0</v>
      </c>
      <c r="L120" s="1053">
        <f>SUM(L21,L83,)</f>
        <v>0</v>
      </c>
      <c r="M120" s="1053">
        <f>SUM(M21,M83,)</f>
        <v>0</v>
      </c>
      <c r="N120" s="1332"/>
      <c r="O120" s="1471"/>
      <c r="P120" s="1471"/>
      <c r="Q120" s="1471"/>
      <c r="R120" s="1471"/>
      <c r="S120" s="1471"/>
      <c r="T120" s="1471"/>
      <c r="U120" s="1471"/>
      <c r="V120" s="1471"/>
    </row>
    <row r="121" spans="1:25" ht="21" customHeight="1">
      <c r="A121" s="2797"/>
      <c r="B121" s="2368" t="s">
        <v>726</v>
      </c>
      <c r="C121" s="2368"/>
      <c r="D121" s="2368"/>
      <c r="E121" s="1472">
        <v>0</v>
      </c>
      <c r="F121" s="1361"/>
      <c r="G121" s="1051">
        <v>0</v>
      </c>
      <c r="H121" s="1053">
        <v>0</v>
      </c>
      <c r="I121" s="1053"/>
      <c r="J121" s="1051">
        <v>0</v>
      </c>
      <c r="K121" s="1053">
        <v>0</v>
      </c>
      <c r="L121" s="1053">
        <v>0</v>
      </c>
      <c r="M121" s="1053">
        <v>0</v>
      </c>
      <c r="N121" s="1332"/>
      <c r="O121" s="1471"/>
      <c r="P121" s="1471"/>
      <c r="Q121" s="1471"/>
      <c r="R121" s="1471"/>
      <c r="S121" s="1471"/>
      <c r="T121" s="1471"/>
      <c r="U121" s="1471"/>
      <c r="V121" s="1471"/>
    </row>
    <row r="122" spans="1:25" ht="19.5" customHeight="1">
      <c r="A122" s="2797"/>
      <c r="B122" s="2368" t="s">
        <v>727</v>
      </c>
      <c r="C122" s="2368"/>
      <c r="D122" s="2368"/>
      <c r="E122" s="1472">
        <v>0</v>
      </c>
      <c r="F122" s="1361"/>
      <c r="G122" s="1051">
        <v>0</v>
      </c>
      <c r="H122" s="1053">
        <f>SUM(H32,H81)</f>
        <v>48.523000000000003</v>
      </c>
      <c r="I122" s="1053"/>
      <c r="J122" s="1051">
        <f>SUM(J32,J81)</f>
        <v>0</v>
      </c>
      <c r="K122" s="1053">
        <f>SUM(K32,K81)</f>
        <v>0</v>
      </c>
      <c r="L122" s="1053">
        <f>SUM(L32,L81)</f>
        <v>0</v>
      </c>
      <c r="M122" s="1053">
        <v>0</v>
      </c>
      <c r="N122" s="1332"/>
      <c r="O122" s="1471"/>
      <c r="P122" s="1471"/>
      <c r="Q122" s="1471"/>
      <c r="R122" s="1471"/>
      <c r="S122" s="1471"/>
      <c r="T122" s="1471"/>
      <c r="U122" s="1471"/>
      <c r="V122" s="1471"/>
    </row>
    <row r="123" spans="1:25" ht="41.25" customHeight="1">
      <c r="A123" s="2797"/>
      <c r="B123" s="2366" t="s">
        <v>728</v>
      </c>
      <c r="C123" s="2366"/>
      <c r="D123" s="2366"/>
      <c r="E123" s="1051">
        <v>0</v>
      </c>
      <c r="F123" s="1051"/>
      <c r="G123" s="1051">
        <v>0</v>
      </c>
      <c r="H123" s="1053">
        <f>H22</f>
        <v>16</v>
      </c>
      <c r="I123" s="1053"/>
      <c r="J123" s="1051">
        <f>J22</f>
        <v>34</v>
      </c>
      <c r="K123" s="1053">
        <f>K22</f>
        <v>34</v>
      </c>
      <c r="L123" s="1053">
        <f>L22</f>
        <v>26</v>
      </c>
      <c r="M123" s="1053">
        <f>M22</f>
        <v>26</v>
      </c>
      <c r="N123" s="1332"/>
      <c r="O123" s="1471"/>
      <c r="P123" s="1471"/>
      <c r="Q123" s="1471"/>
      <c r="R123" s="1471"/>
      <c r="S123" s="1471"/>
      <c r="T123" s="1471"/>
      <c r="U123" s="1471"/>
      <c r="V123" s="1471"/>
    </row>
    <row r="124" spans="1:25" ht="30.75" customHeight="1">
      <c r="A124" s="2797"/>
      <c r="B124" s="2366" t="s">
        <v>1092</v>
      </c>
      <c r="C124" s="2366"/>
      <c r="D124" s="2366"/>
      <c r="E124" s="1200" t="e">
        <f>SUM(E115,E123)</f>
        <v>#REF!</v>
      </c>
      <c r="F124" s="1362" t="e">
        <f t="shared" si="43"/>
        <v>#REF!</v>
      </c>
      <c r="G124" s="1200" t="e">
        <f>SUM(G115,G123)</f>
        <v>#REF!</v>
      </c>
      <c r="H124" s="1055">
        <f>SUM(H115,H123)</f>
        <v>2002.1569999999999</v>
      </c>
      <c r="I124" s="1055"/>
      <c r="J124" s="1200">
        <f t="shared" ref="J124:M124" si="62">SUM(J115,J123)</f>
        <v>1981.18</v>
      </c>
      <c r="K124" s="1055">
        <f>SUM(K115,K123)</f>
        <v>2237.616</v>
      </c>
      <c r="L124" s="1055">
        <f t="shared" si="62"/>
        <v>2156.1549999999997</v>
      </c>
      <c r="M124" s="1055">
        <f t="shared" si="62"/>
        <v>2220.3359999999998</v>
      </c>
      <c r="N124" s="1332"/>
      <c r="O124" s="1471"/>
      <c r="P124" s="1471"/>
      <c r="Q124" s="1471"/>
      <c r="R124" s="1471"/>
      <c r="S124" s="1471"/>
      <c r="T124" s="1471"/>
      <c r="U124" s="1471"/>
      <c r="V124" s="1471"/>
    </row>
    <row r="125" spans="1:25" ht="25.5" customHeight="1">
      <c r="A125" s="2797"/>
      <c r="B125" s="2366" t="s">
        <v>2028</v>
      </c>
      <c r="C125" s="2366"/>
      <c r="D125" s="2366"/>
      <c r="E125" s="1200">
        <v>0</v>
      </c>
      <c r="F125" s="1362"/>
      <c r="G125" s="1200">
        <v>0</v>
      </c>
      <c r="H125" s="1055">
        <v>0</v>
      </c>
      <c r="I125" s="1055"/>
      <c r="J125" s="1200">
        <v>0</v>
      </c>
      <c r="K125" s="1055">
        <v>0</v>
      </c>
      <c r="L125" s="1055">
        <v>0</v>
      </c>
      <c r="M125" s="1055">
        <v>0</v>
      </c>
      <c r="N125" s="1332"/>
      <c r="O125" s="1471"/>
      <c r="P125" s="1471"/>
      <c r="Q125" s="1471"/>
      <c r="R125" s="1471"/>
      <c r="S125" s="1471"/>
      <c r="T125" s="1471"/>
      <c r="U125" s="1471"/>
      <c r="V125" s="1471"/>
    </row>
    <row r="126" spans="1:25" ht="48.75" customHeight="1">
      <c r="A126" s="2797"/>
      <c r="B126" s="2789" t="s">
        <v>729</v>
      </c>
      <c r="C126" s="2789"/>
      <c r="D126" s="2789"/>
      <c r="E126" s="1475">
        <v>0</v>
      </c>
      <c r="F126" s="1407"/>
      <c r="G126" s="1475">
        <v>0</v>
      </c>
      <c r="H126" s="1202">
        <v>0.17</v>
      </c>
      <c r="I126" s="1058"/>
      <c r="J126" s="1058"/>
      <c r="K126" s="1202">
        <f>K124/H124-1</f>
        <v>0.11760266552523113</v>
      </c>
      <c r="L126" s="1202">
        <f>L124/K124-1</f>
        <v>-3.6405263458967108E-2</v>
      </c>
      <c r="M126" s="1202">
        <f>M124/L124-1</f>
        <v>2.976641289703208E-2</v>
      </c>
      <c r="N126" s="1332"/>
      <c r="O126" s="1471"/>
      <c r="P126" s="1471"/>
      <c r="Q126" s="1471"/>
      <c r="R126" s="1471"/>
      <c r="S126" s="1471"/>
      <c r="T126" s="1471"/>
      <c r="U126" s="1471"/>
      <c r="V126" s="1471"/>
    </row>
    <row r="127" spans="1:25" ht="25.5" customHeight="1">
      <c r="E127" s="89"/>
      <c r="F127" s="89"/>
    </row>
    <row r="128" spans="1:25" ht="25.5" hidden="1" customHeight="1">
      <c r="E128" s="89"/>
      <c r="F128" s="89"/>
      <c r="J128" s="570" t="s">
        <v>4065</v>
      </c>
      <c r="K128" s="89">
        <v>2178.34</v>
      </c>
    </row>
    <row r="129" spans="1:15" ht="25.5" hidden="1" customHeight="1">
      <c r="E129" s="89"/>
      <c r="F129" s="89"/>
      <c r="K129" s="116">
        <f>K128-K116-K119-K121-K122</f>
        <v>9.2370555648813024E-14</v>
      </c>
    </row>
    <row r="130" spans="1:15" ht="25.5" hidden="1" customHeight="1">
      <c r="A130" s="87"/>
      <c r="B130" s="124"/>
      <c r="E130" s="123"/>
      <c r="F130" s="123"/>
      <c r="G130" s="123"/>
      <c r="H130" s="123">
        <v>1960.673</v>
      </c>
      <c r="I130" s="573"/>
      <c r="J130" s="573"/>
      <c r="K130" s="123"/>
      <c r="L130" s="123"/>
      <c r="M130" s="123"/>
      <c r="O130" s="123"/>
    </row>
    <row r="131" spans="1:15" ht="25.5" hidden="1" customHeight="1">
      <c r="A131" s="87"/>
      <c r="B131" s="87"/>
      <c r="C131" s="87"/>
      <c r="D131" s="87"/>
      <c r="E131" s="87"/>
      <c r="F131" s="87"/>
      <c r="G131" s="87"/>
      <c r="H131" s="115">
        <f>H130-H116-H119-H122</f>
        <v>0</v>
      </c>
      <c r="I131" s="568"/>
      <c r="J131" s="568"/>
      <c r="K131" s="87"/>
      <c r="L131" s="87"/>
      <c r="M131" s="87"/>
      <c r="O131" s="87"/>
    </row>
    <row r="132" spans="1:15" ht="25.5" hidden="1" customHeight="1">
      <c r="A132" s="87"/>
      <c r="B132" s="87"/>
      <c r="C132" s="87"/>
      <c r="D132" s="87"/>
      <c r="E132" s="87"/>
      <c r="F132" s="87"/>
      <c r="G132" s="87"/>
      <c r="H132" s="87"/>
      <c r="I132" s="460"/>
      <c r="J132" s="460"/>
      <c r="K132" s="87"/>
      <c r="L132" s="87"/>
      <c r="M132" s="87"/>
      <c r="O132" s="87"/>
    </row>
    <row r="133" spans="1:15" ht="25.5" hidden="1" customHeight="1">
      <c r="A133" s="87"/>
      <c r="B133" s="87"/>
      <c r="C133" s="87"/>
      <c r="D133" s="87"/>
      <c r="E133" s="87"/>
      <c r="F133" s="87"/>
      <c r="G133" s="87"/>
      <c r="H133" s="87"/>
      <c r="I133" s="460"/>
      <c r="J133" s="460"/>
      <c r="K133" s="87"/>
      <c r="L133" s="87"/>
      <c r="M133" s="87"/>
      <c r="O133" s="87"/>
    </row>
    <row r="134" spans="1:15" ht="25.5" hidden="1" customHeight="1">
      <c r="A134" s="87"/>
      <c r="B134" s="87"/>
      <c r="C134" s="87"/>
      <c r="D134" s="87"/>
      <c r="E134" s="87"/>
      <c r="F134" s="87"/>
      <c r="G134" s="87"/>
      <c r="H134" s="87"/>
      <c r="I134" s="460"/>
      <c r="J134" s="460"/>
      <c r="K134" s="1215">
        <v>2203.616</v>
      </c>
      <c r="L134" s="1215">
        <v>2130.1559999999999</v>
      </c>
      <c r="M134" s="1215">
        <v>2194.3359999999998</v>
      </c>
      <c r="O134" s="87"/>
    </row>
    <row r="135" spans="1:15" ht="25.5" hidden="1" customHeight="1">
      <c r="A135" s="87"/>
      <c r="B135" s="87"/>
      <c r="C135" s="87"/>
      <c r="D135" s="87"/>
      <c r="E135" s="87"/>
      <c r="F135" s="87"/>
      <c r="G135" s="87"/>
      <c r="H135" s="87"/>
      <c r="I135" s="460"/>
      <c r="J135" s="460"/>
      <c r="K135" s="1216">
        <f>K124-K134</f>
        <v>34</v>
      </c>
      <c r="L135" s="1216">
        <f>L124-L134</f>
        <v>25.998999999999796</v>
      </c>
      <c r="M135" s="1216">
        <f>M124-M134</f>
        <v>26</v>
      </c>
      <c r="O135" s="87"/>
    </row>
    <row r="136" spans="1:15" ht="25.5" hidden="1" customHeight="1">
      <c r="A136" s="87"/>
      <c r="B136" s="87"/>
      <c r="C136" s="87"/>
      <c r="D136" s="87"/>
      <c r="E136" s="87"/>
      <c r="F136" s="87"/>
      <c r="G136" s="87"/>
      <c r="H136" s="87"/>
      <c r="I136" s="460"/>
      <c r="J136" s="460"/>
      <c r="K136" s="87"/>
      <c r="L136" s="87"/>
      <c r="M136" s="87"/>
      <c r="O136" s="87"/>
    </row>
    <row r="137" spans="1:15" ht="25.5" hidden="1" customHeight="1">
      <c r="A137" s="87"/>
      <c r="B137" s="87"/>
      <c r="C137" s="87"/>
      <c r="D137" s="87"/>
      <c r="E137" s="87"/>
      <c r="F137" s="87"/>
      <c r="G137" s="87"/>
      <c r="H137" s="87"/>
      <c r="I137" s="460"/>
      <c r="J137" s="460"/>
      <c r="K137" s="87"/>
      <c r="L137" s="115"/>
      <c r="M137" s="115"/>
      <c r="O137" s="87"/>
    </row>
    <row r="138" spans="1:15" ht="25.5" customHeight="1">
      <c r="A138" s="87"/>
      <c r="B138" s="87"/>
      <c r="C138" s="87"/>
      <c r="D138" s="87"/>
      <c r="E138" s="87"/>
      <c r="F138" s="87"/>
      <c r="G138" s="87"/>
      <c r="H138" s="87"/>
      <c r="I138" s="460"/>
      <c r="J138" s="460"/>
      <c r="K138" s="87"/>
      <c r="L138" s="116"/>
      <c r="M138" s="116"/>
      <c r="O138" s="87"/>
    </row>
    <row r="139" spans="1:15" ht="25.5" customHeight="1">
      <c r="A139" s="87"/>
      <c r="B139" s="87"/>
      <c r="C139" s="87"/>
      <c r="D139" s="87"/>
      <c r="E139" s="87"/>
      <c r="F139" s="87"/>
      <c r="G139" s="87"/>
      <c r="H139" s="87"/>
      <c r="I139" s="460"/>
      <c r="J139" s="460"/>
      <c r="K139" s="87"/>
      <c r="L139" s="115"/>
      <c r="M139" s="115"/>
      <c r="O139" s="87"/>
    </row>
    <row r="140" spans="1:15" ht="25.5" customHeight="1">
      <c r="A140" s="87"/>
      <c r="B140" s="87"/>
      <c r="C140" s="87"/>
      <c r="D140" s="87"/>
      <c r="E140" s="87"/>
      <c r="F140" s="87"/>
      <c r="G140" s="87"/>
      <c r="H140" s="87"/>
      <c r="I140" s="460"/>
      <c r="J140" s="460"/>
      <c r="K140" s="87"/>
      <c r="L140" s="115"/>
      <c r="M140" s="115"/>
      <c r="O140" s="87"/>
    </row>
    <row r="141" spans="1:15" ht="25.5" customHeight="1">
      <c r="A141" s="87"/>
      <c r="B141" s="87"/>
      <c r="C141" s="87"/>
      <c r="D141" s="87"/>
      <c r="E141" s="87"/>
      <c r="F141" s="87"/>
      <c r="G141" s="87"/>
      <c r="H141" s="87"/>
      <c r="I141" s="460"/>
      <c r="J141" s="460"/>
      <c r="K141" s="87"/>
      <c r="L141" s="87"/>
      <c r="M141" s="87"/>
      <c r="O141" s="87"/>
    </row>
    <row r="142" spans="1:15" ht="25.5" customHeight="1">
      <c r="A142" s="87"/>
      <c r="B142" s="87"/>
      <c r="C142" s="87"/>
      <c r="D142" s="87"/>
      <c r="E142" s="87"/>
      <c r="F142" s="87"/>
      <c r="G142" s="87"/>
      <c r="H142" s="87"/>
      <c r="I142" s="460"/>
      <c r="J142" s="460"/>
      <c r="K142" s="87"/>
      <c r="L142" s="87"/>
      <c r="M142" s="87"/>
      <c r="O142" s="87"/>
    </row>
    <row r="143" spans="1:15" ht="25.5" customHeight="1">
      <c r="A143" s="87"/>
      <c r="B143" s="87"/>
      <c r="C143" s="87"/>
      <c r="D143" s="87"/>
      <c r="E143" s="87"/>
      <c r="F143" s="87"/>
      <c r="G143" s="87"/>
      <c r="H143" s="87"/>
      <c r="I143" s="460"/>
      <c r="J143" s="460"/>
      <c r="K143" s="87"/>
      <c r="L143" s="87"/>
      <c r="M143" s="87"/>
      <c r="O143" s="87"/>
    </row>
    <row r="144" spans="1:15" ht="25.5" customHeight="1">
      <c r="A144" s="87"/>
      <c r="B144" s="87"/>
      <c r="C144" s="87"/>
      <c r="D144" s="87"/>
      <c r="E144" s="87"/>
      <c r="F144" s="87"/>
      <c r="G144" s="87"/>
      <c r="H144" s="87"/>
      <c r="I144" s="460"/>
      <c r="J144" s="460"/>
      <c r="K144" s="87"/>
      <c r="L144" s="87"/>
      <c r="M144" s="87"/>
      <c r="O144" s="87"/>
    </row>
    <row r="145" spans="1:15" ht="25.5" customHeight="1">
      <c r="A145" s="87"/>
      <c r="B145" s="87"/>
      <c r="C145" s="87"/>
      <c r="D145" s="87"/>
      <c r="E145" s="87"/>
      <c r="F145" s="87"/>
      <c r="G145" s="87"/>
      <c r="H145" s="87"/>
      <c r="I145" s="460"/>
      <c r="J145" s="460"/>
      <c r="K145" s="87"/>
      <c r="L145" s="87"/>
      <c r="M145" s="87"/>
      <c r="O145" s="87"/>
    </row>
    <row r="146" spans="1:15" ht="25.5" customHeight="1">
      <c r="A146" s="87"/>
      <c r="B146" s="87"/>
      <c r="C146" s="87"/>
      <c r="D146" s="87"/>
      <c r="E146" s="87"/>
      <c r="F146" s="87"/>
      <c r="G146" s="87"/>
      <c r="H146" s="87"/>
      <c r="I146" s="460"/>
      <c r="J146" s="460"/>
      <c r="K146" s="87"/>
      <c r="L146" s="87"/>
      <c r="M146" s="87"/>
      <c r="O146" s="87"/>
    </row>
    <row r="147" spans="1:15" ht="25.5" customHeight="1">
      <c r="A147" s="87"/>
      <c r="B147" s="87"/>
      <c r="C147" s="87"/>
      <c r="D147" s="87"/>
      <c r="E147" s="87"/>
      <c r="F147" s="87"/>
      <c r="G147" s="87"/>
      <c r="H147" s="87"/>
      <c r="I147" s="460"/>
      <c r="J147" s="460"/>
      <c r="K147" s="87"/>
      <c r="L147" s="87"/>
      <c r="M147" s="87"/>
      <c r="O147" s="87"/>
    </row>
    <row r="148" spans="1:15" ht="25.5" customHeight="1">
      <c r="A148" s="87"/>
      <c r="B148" s="87"/>
      <c r="C148" s="87"/>
      <c r="D148" s="87"/>
      <c r="E148" s="87"/>
      <c r="F148" s="87"/>
      <c r="G148" s="87"/>
      <c r="H148" s="87"/>
      <c r="I148" s="460"/>
      <c r="J148" s="460"/>
      <c r="K148" s="87"/>
      <c r="L148" s="87"/>
      <c r="M148" s="87"/>
      <c r="O148" s="87"/>
    </row>
    <row r="149" spans="1:15" ht="25.5" customHeight="1">
      <c r="A149" s="87"/>
      <c r="B149" s="87"/>
      <c r="C149" s="87"/>
      <c r="D149" s="87"/>
      <c r="E149" s="87"/>
      <c r="F149" s="87"/>
      <c r="G149" s="87"/>
      <c r="H149" s="87"/>
      <c r="I149" s="460"/>
      <c r="J149" s="460"/>
      <c r="K149" s="87"/>
      <c r="L149" s="87"/>
      <c r="M149" s="87"/>
      <c r="O149" s="87"/>
    </row>
    <row r="150" spans="1:15" ht="25.5" customHeight="1">
      <c r="A150" s="87"/>
      <c r="B150" s="87"/>
      <c r="C150" s="87"/>
      <c r="D150" s="87"/>
      <c r="E150" s="87"/>
      <c r="F150" s="87"/>
      <c r="G150" s="87"/>
      <c r="H150" s="87"/>
      <c r="I150" s="460"/>
      <c r="J150" s="460"/>
      <c r="K150" s="87"/>
      <c r="L150" s="87"/>
      <c r="M150" s="87"/>
      <c r="O150" s="87"/>
    </row>
    <row r="151" spans="1:15" ht="25.5" customHeight="1">
      <c r="A151" s="87"/>
      <c r="B151" s="87"/>
      <c r="C151" s="87"/>
      <c r="D151" s="87"/>
      <c r="E151" s="87"/>
      <c r="F151" s="87"/>
      <c r="G151" s="87"/>
      <c r="H151" s="87"/>
      <c r="I151" s="460"/>
      <c r="J151" s="460"/>
      <c r="K151" s="87"/>
      <c r="L151" s="87"/>
      <c r="M151" s="87"/>
      <c r="O151" s="87"/>
    </row>
    <row r="152" spans="1:15" ht="25.5" customHeight="1">
      <c r="A152" s="87"/>
      <c r="B152" s="87"/>
      <c r="C152" s="87"/>
      <c r="D152" s="87"/>
      <c r="E152" s="87"/>
      <c r="F152" s="87"/>
      <c r="G152" s="87"/>
      <c r="H152" s="87"/>
      <c r="I152" s="460"/>
      <c r="J152" s="460"/>
      <c r="K152" s="87"/>
      <c r="L152" s="87"/>
      <c r="M152" s="87"/>
      <c r="O152" s="87"/>
    </row>
    <row r="153" spans="1:15" ht="25.5" customHeight="1">
      <c r="A153" s="87"/>
      <c r="B153" s="87"/>
      <c r="C153" s="87"/>
      <c r="D153" s="87"/>
      <c r="E153" s="87"/>
      <c r="F153" s="87"/>
      <c r="G153" s="87"/>
      <c r="H153" s="87"/>
      <c r="I153" s="460"/>
      <c r="J153" s="460"/>
      <c r="K153" s="87"/>
      <c r="L153" s="87"/>
      <c r="M153" s="87"/>
      <c r="O153" s="87"/>
    </row>
    <row r="154" spans="1:15" ht="25.5" customHeight="1">
      <c r="A154" s="87"/>
      <c r="B154" s="87"/>
      <c r="C154" s="87"/>
      <c r="D154" s="87"/>
      <c r="E154" s="87"/>
      <c r="F154" s="87"/>
      <c r="G154" s="87"/>
      <c r="H154" s="87"/>
      <c r="I154" s="460"/>
      <c r="J154" s="460"/>
      <c r="K154" s="87"/>
      <c r="L154" s="87"/>
      <c r="M154" s="87"/>
      <c r="O154" s="87"/>
    </row>
    <row r="155" spans="1:15" ht="25.5" customHeight="1">
      <c r="A155" s="87"/>
      <c r="B155" s="87"/>
      <c r="C155" s="87"/>
      <c r="D155" s="87"/>
      <c r="E155" s="87"/>
      <c r="F155" s="87"/>
      <c r="G155" s="87"/>
      <c r="H155" s="87"/>
      <c r="I155" s="460"/>
      <c r="J155" s="460"/>
      <c r="K155" s="87"/>
      <c r="L155" s="87"/>
      <c r="M155" s="87"/>
      <c r="O155" s="87"/>
    </row>
    <row r="156" spans="1:15" ht="25.5" customHeight="1">
      <c r="A156" s="87"/>
      <c r="B156" s="87"/>
      <c r="C156" s="87"/>
      <c r="D156" s="87"/>
      <c r="E156" s="87"/>
      <c r="F156" s="87"/>
      <c r="G156" s="87"/>
      <c r="H156" s="87"/>
      <c r="I156" s="460"/>
      <c r="J156" s="460"/>
      <c r="K156" s="87"/>
      <c r="L156" s="87"/>
      <c r="M156" s="87"/>
      <c r="O156" s="87"/>
    </row>
    <row r="157" spans="1:15" ht="25.5" customHeight="1">
      <c r="A157" s="87"/>
      <c r="B157" s="87"/>
      <c r="C157" s="87"/>
      <c r="D157" s="87"/>
      <c r="E157" s="87"/>
      <c r="F157" s="87"/>
      <c r="G157" s="87"/>
      <c r="H157" s="87"/>
      <c r="I157" s="460"/>
      <c r="J157" s="460"/>
      <c r="K157" s="87"/>
      <c r="L157" s="87"/>
      <c r="M157" s="87"/>
      <c r="O157" s="87"/>
    </row>
    <row r="158" spans="1:15" ht="25.5" customHeight="1">
      <c r="A158" s="87"/>
      <c r="B158" s="87"/>
      <c r="C158" s="87"/>
      <c r="D158" s="87"/>
      <c r="E158" s="87"/>
      <c r="F158" s="87"/>
      <c r="G158" s="87"/>
      <c r="H158" s="87"/>
      <c r="I158" s="460"/>
      <c r="J158" s="460"/>
      <c r="K158" s="87"/>
      <c r="L158" s="87"/>
      <c r="M158" s="87"/>
      <c r="O158" s="87"/>
    </row>
    <row r="159" spans="1:15" ht="25.5" customHeight="1">
      <c r="A159" s="87"/>
      <c r="B159" s="87"/>
      <c r="C159" s="87"/>
      <c r="D159" s="87"/>
      <c r="E159" s="87"/>
      <c r="F159" s="87"/>
      <c r="G159" s="87"/>
      <c r="H159" s="87"/>
      <c r="I159" s="460"/>
      <c r="J159" s="460"/>
      <c r="K159" s="87"/>
      <c r="L159" s="87"/>
      <c r="M159" s="87"/>
      <c r="O159" s="87"/>
    </row>
    <row r="160" spans="1:15" ht="25.5" customHeight="1">
      <c r="A160" s="87"/>
      <c r="B160" s="87"/>
      <c r="C160" s="87"/>
      <c r="D160" s="87"/>
      <c r="E160" s="87"/>
      <c r="F160" s="87"/>
      <c r="G160" s="87"/>
      <c r="H160" s="87"/>
      <c r="I160" s="460"/>
      <c r="J160" s="460"/>
      <c r="K160" s="87"/>
      <c r="L160" s="87"/>
      <c r="M160" s="87"/>
      <c r="O160" s="87"/>
    </row>
    <row r="161" spans="1:15" ht="25.5" customHeight="1">
      <c r="A161" s="87"/>
      <c r="B161" s="87"/>
      <c r="C161" s="87"/>
      <c r="D161" s="87"/>
      <c r="E161" s="87"/>
      <c r="F161" s="87"/>
      <c r="G161" s="87"/>
      <c r="H161" s="87"/>
      <c r="I161" s="460"/>
      <c r="J161" s="460"/>
      <c r="K161" s="87"/>
      <c r="L161" s="87"/>
      <c r="M161" s="87"/>
      <c r="O161" s="87"/>
    </row>
    <row r="162" spans="1:15" ht="25.5" customHeight="1">
      <c r="A162" s="87"/>
      <c r="B162" s="87"/>
      <c r="C162" s="87"/>
      <c r="D162" s="87"/>
      <c r="E162" s="87"/>
      <c r="F162" s="87"/>
      <c r="G162" s="87"/>
      <c r="H162" s="87"/>
      <c r="I162" s="460"/>
      <c r="J162" s="460"/>
      <c r="K162" s="87"/>
      <c r="L162" s="87"/>
      <c r="M162" s="87"/>
      <c r="O162" s="87"/>
    </row>
    <row r="163" spans="1:15" ht="25.5" customHeight="1">
      <c r="A163" s="87"/>
      <c r="B163" s="87"/>
      <c r="C163" s="87"/>
      <c r="D163" s="87"/>
      <c r="E163" s="87"/>
      <c r="F163" s="87"/>
      <c r="G163" s="87"/>
      <c r="H163" s="87"/>
      <c r="I163" s="460"/>
      <c r="J163" s="460"/>
      <c r="K163" s="87"/>
      <c r="L163" s="87"/>
      <c r="M163" s="87"/>
      <c r="O163" s="87"/>
    </row>
    <row r="164" spans="1:15" ht="25.5" customHeight="1">
      <c r="A164" s="87"/>
      <c r="B164" s="87"/>
      <c r="C164" s="87"/>
      <c r="D164" s="87"/>
      <c r="E164" s="87"/>
      <c r="F164" s="87"/>
      <c r="G164" s="87"/>
      <c r="H164" s="87"/>
      <c r="I164" s="460"/>
      <c r="J164" s="460"/>
      <c r="K164" s="87"/>
      <c r="L164" s="87"/>
      <c r="M164" s="87"/>
      <c r="O164" s="87"/>
    </row>
    <row r="165" spans="1:15" ht="25.5" customHeight="1">
      <c r="A165" s="87"/>
      <c r="B165" s="87"/>
      <c r="C165" s="87"/>
      <c r="D165" s="87"/>
      <c r="E165" s="87"/>
      <c r="F165" s="87"/>
      <c r="G165" s="87"/>
      <c r="H165" s="87"/>
      <c r="I165" s="460"/>
      <c r="J165" s="460"/>
      <c r="K165" s="87"/>
      <c r="L165" s="87"/>
      <c r="M165" s="87"/>
      <c r="O165" s="87"/>
    </row>
    <row r="166" spans="1:15" ht="25.5" customHeight="1">
      <c r="A166" s="87"/>
      <c r="B166" s="87"/>
      <c r="C166" s="87"/>
      <c r="D166" s="87"/>
      <c r="E166" s="87"/>
      <c r="F166" s="87"/>
      <c r="G166" s="87"/>
      <c r="H166" s="87"/>
      <c r="I166" s="460"/>
      <c r="J166" s="460"/>
      <c r="K166" s="87"/>
      <c r="L166" s="87"/>
      <c r="M166" s="87"/>
      <c r="O166" s="87"/>
    </row>
    <row r="167" spans="1:15" ht="25.5" customHeight="1">
      <c r="A167" s="87"/>
      <c r="B167" s="87"/>
      <c r="C167" s="87"/>
      <c r="D167" s="87"/>
      <c r="E167" s="87"/>
      <c r="F167" s="87"/>
      <c r="G167" s="87"/>
      <c r="H167" s="87"/>
      <c r="I167" s="460"/>
      <c r="J167" s="460"/>
      <c r="K167" s="87"/>
      <c r="L167" s="87"/>
      <c r="M167" s="87"/>
      <c r="O167" s="87"/>
    </row>
    <row r="168" spans="1:15" ht="25.5" customHeight="1">
      <c r="A168" s="87"/>
      <c r="B168" s="87"/>
      <c r="C168" s="87"/>
      <c r="D168" s="87"/>
      <c r="E168" s="87"/>
      <c r="F168" s="87"/>
      <c r="G168" s="87"/>
      <c r="H168" s="87"/>
      <c r="I168" s="460"/>
      <c r="J168" s="460"/>
      <c r="K168" s="87"/>
      <c r="L168" s="87"/>
      <c r="M168" s="87"/>
      <c r="O168" s="87"/>
    </row>
    <row r="169" spans="1:15" ht="25.5" customHeight="1">
      <c r="A169" s="87"/>
      <c r="B169" s="87"/>
      <c r="C169" s="87"/>
      <c r="D169" s="87"/>
      <c r="E169" s="87"/>
      <c r="F169" s="87"/>
      <c r="G169" s="87"/>
      <c r="H169" s="87"/>
      <c r="I169" s="460"/>
      <c r="J169" s="460"/>
      <c r="K169" s="87"/>
      <c r="L169" s="87"/>
      <c r="M169" s="87"/>
      <c r="O169" s="87"/>
    </row>
    <row r="170" spans="1:15" ht="25.5" customHeight="1">
      <c r="A170" s="87"/>
      <c r="B170" s="87"/>
      <c r="C170" s="87"/>
      <c r="D170" s="87"/>
      <c r="E170" s="87"/>
      <c r="F170" s="87"/>
      <c r="G170" s="87"/>
      <c r="H170" s="87"/>
      <c r="I170" s="460"/>
      <c r="J170" s="460"/>
      <c r="K170" s="87"/>
      <c r="L170" s="87"/>
      <c r="M170" s="87"/>
      <c r="O170" s="87"/>
    </row>
    <row r="171" spans="1:15" ht="25.5" customHeight="1">
      <c r="A171" s="87"/>
      <c r="B171" s="87"/>
      <c r="C171" s="87"/>
      <c r="D171" s="87"/>
      <c r="E171" s="87"/>
      <c r="F171" s="87"/>
      <c r="G171" s="87"/>
      <c r="H171" s="87"/>
      <c r="I171" s="460"/>
      <c r="J171" s="460"/>
      <c r="K171" s="87"/>
      <c r="L171" s="87"/>
      <c r="M171" s="87"/>
      <c r="O171" s="87"/>
    </row>
    <row r="172" spans="1:15" ht="25.5" customHeight="1">
      <c r="A172" s="87"/>
      <c r="B172" s="87"/>
      <c r="C172" s="87"/>
      <c r="D172" s="87"/>
      <c r="E172" s="87"/>
      <c r="F172" s="87"/>
      <c r="G172" s="87"/>
      <c r="H172" s="87"/>
      <c r="I172" s="460"/>
      <c r="J172" s="460"/>
      <c r="K172" s="87"/>
      <c r="L172" s="87"/>
      <c r="M172" s="87"/>
      <c r="O172" s="87"/>
    </row>
    <row r="173" spans="1:15" ht="25.5" customHeight="1">
      <c r="A173" s="87"/>
      <c r="B173" s="87"/>
      <c r="C173" s="87"/>
      <c r="D173" s="87"/>
      <c r="E173" s="87"/>
      <c r="F173" s="87"/>
      <c r="G173" s="87"/>
      <c r="H173" s="87"/>
      <c r="I173" s="460"/>
      <c r="J173" s="460"/>
      <c r="K173" s="87"/>
      <c r="L173" s="87"/>
      <c r="M173" s="87"/>
      <c r="O173" s="87"/>
    </row>
    <row r="174" spans="1:15" ht="25.5" customHeight="1">
      <c r="A174" s="87"/>
      <c r="B174" s="87"/>
      <c r="C174" s="87"/>
      <c r="D174" s="87"/>
      <c r="E174" s="87"/>
      <c r="F174" s="87"/>
      <c r="G174" s="87"/>
      <c r="H174" s="87"/>
      <c r="I174" s="460"/>
      <c r="J174" s="460"/>
      <c r="K174" s="87"/>
      <c r="L174" s="87"/>
      <c r="M174" s="87"/>
      <c r="O174" s="87"/>
    </row>
    <row r="175" spans="1:15" ht="25.5" customHeight="1">
      <c r="A175" s="87"/>
      <c r="B175" s="87"/>
      <c r="C175" s="87"/>
      <c r="D175" s="87"/>
      <c r="E175" s="87"/>
      <c r="F175" s="87"/>
      <c r="G175" s="87"/>
      <c r="H175" s="87"/>
      <c r="I175" s="460"/>
      <c r="J175" s="460"/>
      <c r="K175" s="87"/>
      <c r="L175" s="87"/>
      <c r="M175" s="87"/>
      <c r="O175" s="87"/>
    </row>
    <row r="176" spans="1:15" ht="25.5" customHeight="1">
      <c r="A176" s="87"/>
      <c r="B176" s="87"/>
      <c r="C176" s="87"/>
      <c r="D176" s="87"/>
      <c r="E176" s="87"/>
      <c r="F176" s="87"/>
      <c r="G176" s="87"/>
      <c r="H176" s="87"/>
      <c r="I176" s="460"/>
      <c r="J176" s="460"/>
      <c r="K176" s="87"/>
      <c r="L176" s="87"/>
      <c r="M176" s="87"/>
      <c r="O176" s="87"/>
    </row>
    <row r="177" spans="1:15" ht="25.5" customHeight="1">
      <c r="A177" s="87"/>
      <c r="B177" s="87"/>
      <c r="C177" s="87"/>
      <c r="D177" s="87"/>
      <c r="E177" s="87"/>
      <c r="F177" s="87"/>
      <c r="G177" s="87"/>
      <c r="H177" s="87"/>
      <c r="I177" s="460"/>
      <c r="J177" s="460"/>
      <c r="K177" s="87"/>
      <c r="L177" s="87"/>
      <c r="M177" s="87"/>
      <c r="O177" s="87"/>
    </row>
    <row r="178" spans="1:15" ht="25.5" customHeight="1">
      <c r="A178" s="87"/>
      <c r="B178" s="87"/>
      <c r="C178" s="87"/>
      <c r="D178" s="87"/>
      <c r="E178" s="87"/>
      <c r="F178" s="87"/>
      <c r="G178" s="87"/>
      <c r="H178" s="87"/>
      <c r="I178" s="460"/>
      <c r="J178" s="460"/>
      <c r="K178" s="87"/>
      <c r="L178" s="87"/>
      <c r="M178" s="87"/>
      <c r="O178" s="87"/>
    </row>
    <row r="179" spans="1:15" ht="25.5" customHeight="1">
      <c r="E179" s="89"/>
      <c r="F179" s="89"/>
    </row>
    <row r="180" spans="1:15" ht="25.5" customHeight="1">
      <c r="E180" s="89"/>
      <c r="F180" s="89"/>
    </row>
    <row r="181" spans="1:15" ht="25.5" customHeight="1">
      <c r="E181" s="89"/>
      <c r="F181" s="89"/>
    </row>
    <row r="182" spans="1:15" ht="25.5" customHeight="1">
      <c r="E182" s="89"/>
      <c r="F182" s="89"/>
    </row>
    <row r="183" spans="1:15" ht="25.5" customHeight="1">
      <c r="E183" s="89"/>
      <c r="F183" s="89"/>
    </row>
    <row r="184" spans="1:15" ht="25.5" customHeight="1">
      <c r="E184" s="89"/>
      <c r="F184" s="89"/>
    </row>
    <row r="185" spans="1:15" ht="25.5" customHeight="1">
      <c r="E185" s="89"/>
      <c r="F185" s="89"/>
    </row>
    <row r="186" spans="1:15" ht="25.5" customHeight="1">
      <c r="E186" s="89"/>
      <c r="F186" s="89"/>
    </row>
    <row r="187" spans="1:15" ht="25.5" customHeight="1">
      <c r="E187" s="89"/>
      <c r="F187" s="89"/>
    </row>
    <row r="188" spans="1:15" ht="25.5" customHeight="1">
      <c r="E188" s="89"/>
      <c r="F188" s="89"/>
    </row>
    <row r="189" spans="1:15" ht="25.5" customHeight="1">
      <c r="E189" s="89"/>
      <c r="F189" s="89"/>
    </row>
    <row r="190" spans="1:15" ht="25.5" customHeight="1">
      <c r="E190" s="89"/>
      <c r="F190" s="89"/>
    </row>
    <row r="191" spans="1:15" ht="25.5" customHeight="1">
      <c r="E191" s="89"/>
      <c r="F191" s="89"/>
    </row>
    <row r="192" spans="1:15" ht="25.5" customHeight="1">
      <c r="E192" s="89"/>
      <c r="F192" s="89"/>
    </row>
    <row r="193" spans="5:6" ht="25.5" customHeight="1">
      <c r="E193" s="89"/>
      <c r="F193" s="89"/>
    </row>
    <row r="194" spans="5:6" ht="25.5" customHeight="1">
      <c r="E194" s="89"/>
      <c r="F194" s="89"/>
    </row>
    <row r="195" spans="5:6" ht="25.5" customHeight="1">
      <c r="E195" s="89"/>
      <c r="F195" s="89"/>
    </row>
    <row r="196" spans="5:6" ht="25.5" customHeight="1">
      <c r="E196" s="89"/>
      <c r="F196" s="89"/>
    </row>
    <row r="197" spans="5:6" ht="25.5" customHeight="1">
      <c r="E197" s="89"/>
      <c r="F197" s="89"/>
    </row>
    <row r="198" spans="5:6" ht="25.5" customHeight="1">
      <c r="E198" s="89"/>
      <c r="F198" s="89"/>
    </row>
    <row r="199" spans="5:6" ht="25.5" customHeight="1">
      <c r="E199" s="89"/>
      <c r="F199" s="89"/>
    </row>
    <row r="200" spans="5:6" ht="25.5" customHeight="1">
      <c r="E200" s="89"/>
      <c r="F200" s="89"/>
    </row>
    <row r="201" spans="5:6" ht="25.5" customHeight="1">
      <c r="E201" s="89"/>
      <c r="F201" s="89"/>
    </row>
    <row r="202" spans="5:6" ht="25.5" customHeight="1">
      <c r="E202" s="89"/>
      <c r="F202" s="89"/>
    </row>
    <row r="203" spans="5:6" ht="25.5" customHeight="1">
      <c r="E203" s="89"/>
      <c r="F203" s="89"/>
    </row>
    <row r="204" spans="5:6" ht="25.5" customHeight="1">
      <c r="E204" s="89"/>
      <c r="F204" s="89"/>
    </row>
    <row r="205" spans="5:6" ht="25.5" customHeight="1">
      <c r="E205" s="89"/>
      <c r="F205" s="89"/>
    </row>
    <row r="206" spans="5:6" ht="25.5" customHeight="1">
      <c r="E206" s="89"/>
      <c r="F206" s="89"/>
    </row>
    <row r="207" spans="5:6" ht="25.5" customHeight="1">
      <c r="E207" s="89"/>
      <c r="F207" s="89"/>
    </row>
    <row r="208" spans="5:6" ht="25.5" customHeight="1">
      <c r="E208" s="89"/>
      <c r="F208" s="89"/>
    </row>
    <row r="209" spans="5:6" ht="25.5" customHeight="1">
      <c r="E209" s="89"/>
      <c r="F209" s="89"/>
    </row>
    <row r="210" spans="5:6" ht="25.5" customHeight="1">
      <c r="E210" s="89"/>
      <c r="F210" s="89"/>
    </row>
    <row r="211" spans="5:6" ht="25.5" customHeight="1">
      <c r="E211" s="89"/>
      <c r="F211" s="89"/>
    </row>
    <row r="212" spans="5:6" ht="25.5" customHeight="1">
      <c r="E212" s="89"/>
      <c r="F212" s="89"/>
    </row>
    <row r="213" spans="5:6" ht="25.5" customHeight="1">
      <c r="E213" s="89"/>
      <c r="F213" s="89"/>
    </row>
    <row r="214" spans="5:6" ht="25.5" customHeight="1">
      <c r="E214" s="89"/>
      <c r="F214" s="89"/>
    </row>
    <row r="215" spans="5:6" ht="25.5" customHeight="1">
      <c r="E215" s="89"/>
      <c r="F215" s="89"/>
    </row>
    <row r="216" spans="5:6" ht="25.5" customHeight="1">
      <c r="E216" s="89"/>
      <c r="F216" s="89"/>
    </row>
    <row r="217" spans="5:6" ht="25.5" customHeight="1">
      <c r="E217" s="89"/>
      <c r="F217" s="89"/>
    </row>
    <row r="218" spans="5:6" ht="25.5" customHeight="1">
      <c r="E218" s="89"/>
      <c r="F218" s="89"/>
    </row>
    <row r="219" spans="5:6" ht="25.5" customHeight="1">
      <c r="E219" s="89"/>
      <c r="F219" s="89"/>
    </row>
    <row r="220" spans="5:6" ht="25.5" customHeight="1">
      <c r="E220" s="89"/>
      <c r="F220" s="89"/>
    </row>
    <row r="221" spans="5:6" ht="25.5" customHeight="1">
      <c r="E221" s="89"/>
      <c r="F221" s="89"/>
    </row>
    <row r="222" spans="5:6" ht="25.5" customHeight="1">
      <c r="E222" s="89"/>
      <c r="F222" s="89"/>
    </row>
    <row r="223" spans="5:6" ht="25.5" customHeight="1">
      <c r="E223" s="89"/>
      <c r="F223" s="89"/>
    </row>
    <row r="224" spans="5:6" ht="25.5" customHeight="1">
      <c r="E224" s="89"/>
      <c r="F224" s="89"/>
    </row>
    <row r="225" spans="5:6" ht="25.5" customHeight="1">
      <c r="E225" s="89"/>
      <c r="F225" s="89"/>
    </row>
    <row r="226" spans="5:6" ht="25.5" customHeight="1">
      <c r="E226" s="89"/>
      <c r="F226" s="89"/>
    </row>
    <row r="227" spans="5:6" ht="25.5" customHeight="1">
      <c r="E227" s="89"/>
      <c r="F227" s="89"/>
    </row>
    <row r="228" spans="5:6" ht="25.5" customHeight="1">
      <c r="E228" s="89"/>
      <c r="F228" s="89"/>
    </row>
    <row r="229" spans="5:6" ht="25.5" customHeight="1">
      <c r="E229" s="89"/>
      <c r="F229" s="89"/>
    </row>
    <row r="230" spans="5:6" ht="25.5" customHeight="1">
      <c r="E230" s="89"/>
      <c r="F230" s="89"/>
    </row>
    <row r="231" spans="5:6" ht="25.5" customHeight="1">
      <c r="E231" s="89"/>
      <c r="F231" s="89"/>
    </row>
    <row r="232" spans="5:6" ht="25.5" customHeight="1">
      <c r="E232" s="89"/>
      <c r="F232" s="89"/>
    </row>
    <row r="233" spans="5:6" ht="25.5" customHeight="1">
      <c r="E233" s="89"/>
      <c r="F233" s="89"/>
    </row>
    <row r="234" spans="5:6" ht="25.5" customHeight="1">
      <c r="E234" s="89"/>
      <c r="F234" s="89"/>
    </row>
    <row r="235" spans="5:6" ht="25.5" customHeight="1">
      <c r="E235" s="89"/>
      <c r="F235" s="89"/>
    </row>
    <row r="236" spans="5:6" ht="25.5" customHeight="1">
      <c r="E236" s="89"/>
      <c r="F236" s="89"/>
    </row>
    <row r="237" spans="5:6" ht="25.5" customHeight="1">
      <c r="E237" s="89"/>
      <c r="F237" s="89"/>
    </row>
    <row r="238" spans="5:6" ht="25.5" customHeight="1">
      <c r="E238" s="89"/>
      <c r="F238" s="89"/>
    </row>
    <row r="239" spans="5:6" ht="25.5" customHeight="1">
      <c r="E239" s="89"/>
      <c r="F239" s="89"/>
    </row>
    <row r="240" spans="5:6" ht="25.5" customHeight="1">
      <c r="E240" s="89"/>
      <c r="F240" s="89"/>
    </row>
    <row r="241" spans="5:6" ht="25.5" customHeight="1">
      <c r="E241" s="89"/>
      <c r="F241" s="89"/>
    </row>
    <row r="242" spans="5:6" ht="25.5" customHeight="1">
      <c r="E242" s="89"/>
      <c r="F242" s="89"/>
    </row>
    <row r="243" spans="5:6" ht="25.5" customHeight="1">
      <c r="E243" s="89"/>
      <c r="F243" s="89"/>
    </row>
    <row r="244" spans="5:6" ht="25.5" customHeight="1">
      <c r="E244" s="89"/>
      <c r="F244" s="89"/>
    </row>
    <row r="245" spans="5:6" ht="25.5" customHeight="1">
      <c r="E245" s="89"/>
      <c r="F245" s="89"/>
    </row>
    <row r="246" spans="5:6" ht="25.5" customHeight="1">
      <c r="E246" s="89"/>
      <c r="F246" s="89"/>
    </row>
    <row r="247" spans="5:6" ht="25.5" customHeight="1">
      <c r="E247" s="89"/>
      <c r="F247" s="89"/>
    </row>
    <row r="248" spans="5:6" ht="25.5" customHeight="1">
      <c r="E248" s="89"/>
      <c r="F248" s="89"/>
    </row>
    <row r="249" spans="5:6" ht="25.5" customHeight="1">
      <c r="E249" s="89"/>
      <c r="F249" s="89"/>
    </row>
    <row r="250" spans="5:6" ht="25.5" customHeight="1">
      <c r="E250" s="89"/>
      <c r="F250" s="89"/>
    </row>
    <row r="251" spans="5:6" ht="25.5" customHeight="1">
      <c r="E251" s="89"/>
      <c r="F251" s="89"/>
    </row>
    <row r="252" spans="5:6" ht="25.5" customHeight="1">
      <c r="E252" s="89"/>
      <c r="F252" s="89"/>
    </row>
    <row r="253" spans="5:6" ht="25.5" customHeight="1">
      <c r="E253" s="89"/>
      <c r="F253" s="89"/>
    </row>
    <row r="254" spans="5:6" ht="25.5" customHeight="1">
      <c r="E254" s="89"/>
      <c r="F254" s="89"/>
    </row>
    <row r="255" spans="5:6" ht="25.5" customHeight="1">
      <c r="E255" s="89"/>
      <c r="F255" s="89"/>
    </row>
    <row r="256" spans="5:6" ht="25.5" customHeight="1">
      <c r="E256" s="89"/>
      <c r="F256" s="89"/>
    </row>
    <row r="257" spans="5:6" ht="25.5" customHeight="1">
      <c r="E257" s="89"/>
      <c r="F257" s="89"/>
    </row>
    <row r="258" spans="5:6" ht="25.5" customHeight="1">
      <c r="E258" s="89"/>
      <c r="F258" s="89"/>
    </row>
    <row r="259" spans="5:6" ht="25.5" customHeight="1">
      <c r="E259" s="89"/>
      <c r="F259" s="89"/>
    </row>
    <row r="260" spans="5:6" ht="25.5" customHeight="1">
      <c r="E260" s="89"/>
      <c r="F260" s="89"/>
    </row>
    <row r="261" spans="5:6" ht="25.5" customHeight="1">
      <c r="E261" s="89"/>
      <c r="F261" s="89"/>
    </row>
    <row r="262" spans="5:6" ht="25.5" customHeight="1">
      <c r="E262" s="89"/>
      <c r="F262" s="89"/>
    </row>
    <row r="263" spans="5:6" ht="25.5" customHeight="1">
      <c r="E263" s="89"/>
      <c r="F263" s="89"/>
    </row>
    <row r="264" spans="5:6" ht="25.5" customHeight="1">
      <c r="E264" s="89"/>
      <c r="F264" s="89"/>
    </row>
    <row r="265" spans="5:6" ht="25.5" customHeight="1">
      <c r="E265" s="89"/>
      <c r="F265" s="89"/>
    </row>
    <row r="266" spans="5:6" ht="25.5" customHeight="1">
      <c r="E266" s="89"/>
      <c r="F266" s="89"/>
    </row>
    <row r="267" spans="5:6" ht="25.5" customHeight="1">
      <c r="E267" s="89"/>
      <c r="F267" s="89"/>
    </row>
    <row r="268" spans="5:6" ht="25.5" customHeight="1">
      <c r="E268" s="89"/>
      <c r="F268" s="89"/>
    </row>
    <row r="269" spans="5:6" ht="25.5" customHeight="1">
      <c r="E269" s="89"/>
      <c r="F269" s="89"/>
    </row>
    <row r="270" spans="5:6" ht="25.5" customHeight="1">
      <c r="E270" s="89"/>
      <c r="F270" s="89"/>
    </row>
    <row r="271" spans="5:6" ht="25.5" customHeight="1">
      <c r="E271" s="89"/>
      <c r="F271" s="89"/>
    </row>
    <row r="272" spans="5:6" ht="25.5" customHeight="1">
      <c r="E272" s="89"/>
      <c r="F272" s="89"/>
    </row>
    <row r="273" spans="5:6" ht="25.5" customHeight="1">
      <c r="E273" s="89"/>
      <c r="F273" s="89"/>
    </row>
    <row r="274" spans="5:6" ht="25.5" customHeight="1">
      <c r="E274" s="89"/>
      <c r="F274" s="89"/>
    </row>
    <row r="275" spans="5:6" ht="25.5" customHeight="1">
      <c r="E275" s="89"/>
      <c r="F275" s="89"/>
    </row>
    <row r="276" spans="5:6" ht="25.5" customHeight="1">
      <c r="E276" s="89"/>
      <c r="F276" s="89"/>
    </row>
    <row r="277" spans="5:6" ht="25.5" customHeight="1">
      <c r="E277" s="89"/>
      <c r="F277" s="89"/>
    </row>
    <row r="278" spans="5:6" ht="25.5" customHeight="1">
      <c r="E278" s="89"/>
      <c r="F278" s="89"/>
    </row>
    <row r="279" spans="5:6" ht="25.5" customHeight="1">
      <c r="E279" s="89"/>
      <c r="F279" s="89"/>
    </row>
    <row r="280" spans="5:6" ht="25.5" customHeight="1">
      <c r="E280" s="89"/>
      <c r="F280" s="89"/>
    </row>
    <row r="281" spans="5:6" ht="25.5" customHeight="1">
      <c r="E281" s="89"/>
      <c r="F281" s="89"/>
    </row>
    <row r="282" spans="5:6" ht="25.5" customHeight="1">
      <c r="E282" s="89"/>
      <c r="F282" s="89"/>
    </row>
    <row r="283" spans="5:6" ht="25.5" customHeight="1">
      <c r="E283" s="89"/>
      <c r="F283" s="89"/>
    </row>
    <row r="284" spans="5:6" ht="25.5" customHeight="1">
      <c r="E284" s="89"/>
      <c r="F284" s="89"/>
    </row>
    <row r="285" spans="5:6" ht="25.5" customHeight="1">
      <c r="E285" s="89"/>
      <c r="F285" s="89"/>
    </row>
    <row r="286" spans="5:6" ht="25.5" customHeight="1">
      <c r="E286" s="89"/>
      <c r="F286" s="89"/>
    </row>
    <row r="287" spans="5:6" ht="25.5" customHeight="1">
      <c r="E287" s="89"/>
      <c r="F287" s="89"/>
    </row>
    <row r="288" spans="5:6" ht="25.5" customHeight="1">
      <c r="E288" s="89"/>
      <c r="F288" s="89"/>
    </row>
    <row r="289" spans="5:6" ht="25.5" customHeight="1">
      <c r="E289" s="89"/>
      <c r="F289" s="89"/>
    </row>
    <row r="290" spans="5:6" ht="25.5" customHeight="1">
      <c r="E290" s="89"/>
      <c r="F290" s="89"/>
    </row>
    <row r="291" spans="5:6" ht="25.5" customHeight="1">
      <c r="E291" s="89"/>
      <c r="F291" s="89"/>
    </row>
    <row r="292" spans="5:6" ht="25.5" customHeight="1">
      <c r="E292" s="89"/>
      <c r="F292" s="89"/>
    </row>
    <row r="293" spans="5:6" ht="25.5" customHeight="1">
      <c r="E293" s="89"/>
      <c r="F293" s="89"/>
    </row>
    <row r="294" spans="5:6" ht="25.5" customHeight="1">
      <c r="E294" s="89"/>
      <c r="F294" s="89"/>
    </row>
    <row r="295" spans="5:6" ht="25.5" customHeight="1">
      <c r="E295" s="89"/>
      <c r="F295" s="89"/>
    </row>
    <row r="296" spans="5:6" ht="25.5" customHeight="1">
      <c r="E296" s="89"/>
      <c r="F296" s="89"/>
    </row>
    <row r="297" spans="5:6" ht="25.5" customHeight="1">
      <c r="E297" s="89"/>
      <c r="F297" s="89"/>
    </row>
    <row r="298" spans="5:6" ht="25.5" customHeight="1">
      <c r="E298" s="89"/>
      <c r="F298" s="89"/>
    </row>
    <row r="299" spans="5:6" ht="25.5" customHeight="1">
      <c r="E299" s="89"/>
      <c r="F299" s="89"/>
    </row>
    <row r="300" spans="5:6" ht="25.5" customHeight="1">
      <c r="E300" s="89"/>
      <c r="F300" s="89"/>
    </row>
    <row r="301" spans="5:6" ht="25.5" customHeight="1">
      <c r="E301" s="89"/>
      <c r="F301" s="89"/>
    </row>
    <row r="302" spans="5:6" ht="25.5" customHeight="1">
      <c r="E302" s="89"/>
      <c r="F302" s="89"/>
    </row>
    <row r="303" spans="5:6" ht="25.5" customHeight="1">
      <c r="E303" s="89"/>
      <c r="F303" s="89"/>
    </row>
    <row r="304" spans="5:6" ht="25.5" customHeight="1">
      <c r="E304" s="89"/>
      <c r="F304" s="89"/>
    </row>
    <row r="305" spans="5:6" ht="25.5" customHeight="1">
      <c r="E305" s="89"/>
      <c r="F305" s="89"/>
    </row>
    <row r="306" spans="5:6" ht="25.5" customHeight="1">
      <c r="E306" s="89"/>
      <c r="F306" s="89"/>
    </row>
    <row r="307" spans="5:6" ht="25.5" customHeight="1">
      <c r="E307" s="89"/>
      <c r="F307" s="89"/>
    </row>
    <row r="308" spans="5:6" ht="25.5" customHeight="1">
      <c r="E308" s="89"/>
      <c r="F308" s="89"/>
    </row>
    <row r="309" spans="5:6" ht="25.5" customHeight="1">
      <c r="E309" s="89"/>
      <c r="F309" s="89"/>
    </row>
    <row r="310" spans="5:6" ht="25.5" customHeight="1">
      <c r="E310" s="89"/>
      <c r="F310" s="89"/>
    </row>
    <row r="311" spans="5:6" ht="25.5" customHeight="1">
      <c r="E311" s="89"/>
      <c r="F311" s="89"/>
    </row>
    <row r="312" spans="5:6" ht="25.5" customHeight="1">
      <c r="E312" s="89"/>
      <c r="F312" s="89"/>
    </row>
    <row r="313" spans="5:6" ht="25.5" customHeight="1">
      <c r="E313" s="89"/>
      <c r="F313" s="89"/>
    </row>
    <row r="314" spans="5:6" ht="25.5" customHeight="1">
      <c r="E314" s="89"/>
      <c r="F314" s="89"/>
    </row>
    <row r="315" spans="5:6" ht="25.5" customHeight="1">
      <c r="E315" s="89"/>
      <c r="F315" s="89"/>
    </row>
    <row r="316" spans="5:6" ht="25.5" customHeight="1">
      <c r="E316" s="89"/>
      <c r="F316" s="89"/>
    </row>
    <row r="317" spans="5:6" ht="25.5" customHeight="1">
      <c r="E317" s="89"/>
      <c r="F317" s="89"/>
    </row>
    <row r="318" spans="5:6" ht="25.5" customHeight="1">
      <c r="E318" s="89"/>
      <c r="F318" s="89"/>
    </row>
    <row r="319" spans="5:6" ht="25.5" customHeight="1">
      <c r="E319" s="89"/>
      <c r="F319" s="89"/>
    </row>
    <row r="320" spans="5:6" ht="25.5" customHeight="1">
      <c r="E320" s="89"/>
      <c r="F320" s="89"/>
    </row>
    <row r="321" spans="5:6" ht="25.5" customHeight="1">
      <c r="E321" s="89"/>
      <c r="F321" s="89"/>
    </row>
    <row r="322" spans="5:6" ht="25.5" customHeight="1">
      <c r="E322" s="89"/>
      <c r="F322" s="89"/>
    </row>
    <row r="323" spans="5:6" ht="25.5" customHeight="1">
      <c r="E323" s="89"/>
      <c r="F323" s="89"/>
    </row>
    <row r="324" spans="5:6" ht="25.5" customHeight="1">
      <c r="E324" s="89"/>
      <c r="F324" s="89"/>
    </row>
    <row r="325" spans="5:6" ht="25.5" customHeight="1">
      <c r="E325" s="89"/>
      <c r="F325" s="89"/>
    </row>
    <row r="326" spans="5:6" ht="25.5" customHeight="1">
      <c r="E326" s="89"/>
      <c r="F326" s="89"/>
    </row>
    <row r="327" spans="5:6" ht="25.5" customHeight="1">
      <c r="E327" s="89"/>
      <c r="F327" s="89"/>
    </row>
    <row r="328" spans="5:6" ht="25.5" customHeight="1">
      <c r="E328" s="89"/>
      <c r="F328" s="89"/>
    </row>
    <row r="329" spans="5:6" ht="25.5" customHeight="1">
      <c r="E329" s="89"/>
      <c r="F329" s="89"/>
    </row>
    <row r="330" spans="5:6" ht="25.5" customHeight="1">
      <c r="E330" s="89"/>
      <c r="F330" s="89"/>
    </row>
    <row r="331" spans="5:6" ht="25.5" customHeight="1">
      <c r="E331" s="89"/>
      <c r="F331" s="89"/>
    </row>
    <row r="332" spans="5:6" ht="25.5" customHeight="1">
      <c r="E332" s="89"/>
      <c r="F332" s="89"/>
    </row>
    <row r="333" spans="5:6" ht="25.5" customHeight="1">
      <c r="E333" s="89"/>
      <c r="F333" s="89"/>
    </row>
    <row r="334" spans="5:6" ht="25.5" customHeight="1">
      <c r="E334" s="89"/>
      <c r="F334" s="89"/>
    </row>
    <row r="335" spans="5:6" ht="25.5" customHeight="1">
      <c r="E335" s="89"/>
      <c r="F335" s="89"/>
    </row>
    <row r="336" spans="5:6" ht="25.5" customHeight="1">
      <c r="E336" s="89"/>
      <c r="F336" s="89"/>
    </row>
    <row r="337" spans="5:6" ht="25.5" customHeight="1">
      <c r="E337" s="89"/>
      <c r="F337" s="89"/>
    </row>
    <row r="338" spans="5:6" ht="25.5" customHeight="1">
      <c r="E338" s="89"/>
      <c r="F338" s="89"/>
    </row>
    <row r="339" spans="5:6" ht="25.5" customHeight="1">
      <c r="E339" s="89"/>
      <c r="F339" s="89"/>
    </row>
    <row r="340" spans="5:6" ht="25.5" customHeight="1">
      <c r="E340" s="89"/>
      <c r="F340" s="89"/>
    </row>
    <row r="341" spans="5:6" ht="25.5" customHeight="1">
      <c r="E341" s="89"/>
      <c r="F341" s="89"/>
    </row>
    <row r="342" spans="5:6" ht="25.5" customHeight="1">
      <c r="E342" s="89"/>
      <c r="F342" s="89"/>
    </row>
    <row r="343" spans="5:6" ht="25.5" customHeight="1">
      <c r="E343" s="89"/>
      <c r="F343" s="89"/>
    </row>
    <row r="344" spans="5:6" ht="25.5" customHeight="1">
      <c r="E344" s="89"/>
      <c r="F344" s="89"/>
    </row>
    <row r="345" spans="5:6" ht="25.5" customHeight="1">
      <c r="E345" s="89"/>
      <c r="F345" s="89"/>
    </row>
    <row r="346" spans="5:6" ht="25.5" customHeight="1">
      <c r="E346" s="89"/>
      <c r="F346" s="89"/>
    </row>
    <row r="347" spans="5:6" ht="25.5" customHeight="1">
      <c r="E347" s="89"/>
      <c r="F347" s="89"/>
    </row>
    <row r="348" spans="5:6" ht="25.5" customHeight="1">
      <c r="E348" s="89"/>
      <c r="F348" s="89"/>
    </row>
    <row r="349" spans="5:6" ht="25.5" customHeight="1">
      <c r="E349" s="89"/>
      <c r="F349" s="89"/>
    </row>
    <row r="350" spans="5:6" ht="25.5" customHeight="1">
      <c r="E350" s="89"/>
      <c r="F350" s="89"/>
    </row>
    <row r="351" spans="5:6" ht="25.5" customHeight="1">
      <c r="E351" s="89"/>
      <c r="F351" s="89"/>
    </row>
    <row r="352" spans="5:6" ht="25.5" customHeight="1">
      <c r="E352" s="89"/>
      <c r="F352" s="89"/>
    </row>
    <row r="353" spans="5:6" ht="25.5" customHeight="1">
      <c r="E353" s="89"/>
      <c r="F353" s="89"/>
    </row>
    <row r="354" spans="5:6" ht="25.5" customHeight="1">
      <c r="E354" s="89"/>
      <c r="F354" s="89"/>
    </row>
    <row r="355" spans="5:6" ht="25.5" customHeight="1">
      <c r="E355" s="89"/>
      <c r="F355" s="89"/>
    </row>
    <row r="356" spans="5:6" ht="25.5" customHeight="1">
      <c r="E356" s="89"/>
      <c r="F356" s="89"/>
    </row>
    <row r="357" spans="5:6" ht="25.5" customHeight="1">
      <c r="E357" s="89"/>
      <c r="F357" s="89"/>
    </row>
    <row r="358" spans="5:6" ht="25.5" customHeight="1">
      <c r="E358" s="89"/>
      <c r="F358" s="89"/>
    </row>
    <row r="359" spans="5:6" ht="25.5" customHeight="1">
      <c r="E359" s="89"/>
      <c r="F359" s="89"/>
    </row>
    <row r="360" spans="5:6" ht="25.5" customHeight="1">
      <c r="E360" s="89"/>
      <c r="F360" s="89"/>
    </row>
    <row r="361" spans="5:6" ht="25.5" customHeight="1">
      <c r="E361" s="89"/>
      <c r="F361" s="89"/>
    </row>
    <row r="362" spans="5:6" ht="25.5" customHeight="1">
      <c r="E362" s="89"/>
      <c r="F362" s="89"/>
    </row>
    <row r="363" spans="5:6" ht="25.5" customHeight="1">
      <c r="E363" s="89"/>
      <c r="F363" s="89"/>
    </row>
    <row r="364" spans="5:6" ht="25.5" customHeight="1">
      <c r="E364" s="89"/>
      <c r="F364" s="89"/>
    </row>
    <row r="365" spans="5:6" ht="25.5" customHeight="1">
      <c r="E365" s="89"/>
      <c r="F365" s="89"/>
    </row>
    <row r="366" spans="5:6" ht="25.5" customHeight="1">
      <c r="E366" s="89"/>
      <c r="F366" s="89"/>
    </row>
    <row r="367" spans="5:6" ht="25.5" customHeight="1">
      <c r="E367" s="89"/>
      <c r="F367" s="89"/>
    </row>
    <row r="368" spans="5:6" ht="25.5" customHeight="1">
      <c r="E368" s="89"/>
      <c r="F368" s="89"/>
    </row>
    <row r="369" spans="5:6" ht="25.5" customHeight="1">
      <c r="E369" s="89"/>
      <c r="F369" s="89"/>
    </row>
    <row r="370" spans="5:6" ht="25.5" customHeight="1">
      <c r="E370" s="89"/>
      <c r="F370" s="89"/>
    </row>
    <row r="371" spans="5:6" ht="25.5" customHeight="1">
      <c r="E371" s="89"/>
      <c r="F371" s="89"/>
    </row>
    <row r="372" spans="5:6" ht="25.5" customHeight="1">
      <c r="E372" s="89"/>
      <c r="F372" s="89"/>
    </row>
    <row r="373" spans="5:6" ht="25.5" customHeight="1">
      <c r="E373" s="89"/>
      <c r="F373" s="89"/>
    </row>
    <row r="374" spans="5:6" ht="25.5" customHeight="1">
      <c r="E374" s="89"/>
      <c r="F374" s="89"/>
    </row>
    <row r="375" spans="5:6" ht="25.5" customHeight="1">
      <c r="E375" s="89"/>
      <c r="F375" s="89"/>
    </row>
    <row r="376" spans="5:6" ht="25.5" customHeight="1">
      <c r="E376" s="89"/>
      <c r="F376" s="89"/>
    </row>
    <row r="377" spans="5:6" ht="25.5" customHeight="1">
      <c r="E377" s="89"/>
      <c r="F377" s="89"/>
    </row>
    <row r="378" spans="5:6" ht="25.5" customHeight="1">
      <c r="E378" s="89"/>
      <c r="F378" s="89"/>
    </row>
    <row r="379" spans="5:6" ht="25.5" customHeight="1">
      <c r="E379" s="89"/>
      <c r="F379" s="89"/>
    </row>
    <row r="380" spans="5:6" ht="25.5" customHeight="1">
      <c r="E380" s="89"/>
      <c r="F380" s="89"/>
    </row>
    <row r="381" spans="5:6" ht="25.5" customHeight="1">
      <c r="E381" s="89"/>
      <c r="F381" s="89"/>
    </row>
    <row r="382" spans="5:6" ht="25.5" customHeight="1">
      <c r="E382" s="89"/>
      <c r="F382" s="89"/>
    </row>
    <row r="383" spans="5:6" ht="25.5" customHeight="1">
      <c r="E383" s="89"/>
      <c r="F383" s="89"/>
    </row>
    <row r="384" spans="5:6" ht="25.5" customHeight="1">
      <c r="E384" s="89"/>
      <c r="F384" s="89"/>
    </row>
    <row r="385" spans="5:6" ht="25.5" customHeight="1">
      <c r="E385" s="89"/>
      <c r="F385" s="89"/>
    </row>
    <row r="386" spans="5:6" ht="25.5" customHeight="1">
      <c r="E386" s="89"/>
      <c r="F386" s="89"/>
    </row>
    <row r="387" spans="5:6" ht="25.5" customHeight="1">
      <c r="E387" s="89"/>
      <c r="F387" s="89"/>
    </row>
    <row r="388" spans="5:6" ht="25.5" customHeight="1">
      <c r="E388" s="89"/>
      <c r="F388" s="89"/>
    </row>
    <row r="389" spans="5:6" ht="25.5" customHeight="1">
      <c r="E389" s="89"/>
      <c r="F389" s="89"/>
    </row>
    <row r="390" spans="5:6" ht="25.5" customHeight="1">
      <c r="E390" s="89"/>
      <c r="F390" s="89"/>
    </row>
    <row r="391" spans="5:6" ht="25.5" customHeight="1">
      <c r="E391" s="89"/>
      <c r="F391" s="89"/>
    </row>
    <row r="392" spans="5:6" ht="25.5" customHeight="1">
      <c r="E392" s="89"/>
      <c r="F392" s="89"/>
    </row>
    <row r="393" spans="5:6" ht="25.5" customHeight="1">
      <c r="E393" s="89"/>
      <c r="F393" s="89"/>
    </row>
    <row r="394" spans="5:6" ht="25.5" customHeight="1">
      <c r="E394" s="89"/>
      <c r="F394" s="89"/>
    </row>
    <row r="395" spans="5:6" ht="25.5" customHeight="1">
      <c r="E395" s="89"/>
      <c r="F395" s="89"/>
    </row>
    <row r="396" spans="5:6" ht="25.5" customHeight="1">
      <c r="E396" s="89"/>
      <c r="F396" s="89"/>
    </row>
    <row r="397" spans="5:6" ht="25.5" customHeight="1">
      <c r="E397" s="89"/>
      <c r="F397" s="89"/>
    </row>
    <row r="398" spans="5:6" ht="25.5" customHeight="1">
      <c r="E398" s="89"/>
      <c r="F398" s="89"/>
    </row>
    <row r="399" spans="5:6" ht="25.5" customHeight="1">
      <c r="E399" s="89"/>
      <c r="F399" s="89"/>
    </row>
    <row r="400" spans="5:6" ht="25.5" customHeight="1">
      <c r="E400" s="89"/>
      <c r="F400" s="89"/>
    </row>
    <row r="401" spans="5:6" ht="25.5" customHeight="1">
      <c r="E401" s="89"/>
      <c r="F401" s="89"/>
    </row>
    <row r="402" spans="5:6" ht="25.5" customHeight="1">
      <c r="E402" s="89"/>
      <c r="F402" s="89"/>
    </row>
    <row r="403" spans="5:6" ht="25.5" customHeight="1">
      <c r="E403" s="89"/>
      <c r="F403" s="89"/>
    </row>
    <row r="404" spans="5:6" ht="25.5" customHeight="1">
      <c r="E404" s="89"/>
      <c r="F404" s="89"/>
    </row>
    <row r="405" spans="5:6" ht="25.5" customHeight="1">
      <c r="E405" s="89"/>
      <c r="F405" s="89"/>
    </row>
    <row r="406" spans="5:6" ht="25.5" customHeight="1">
      <c r="E406" s="89"/>
      <c r="F406" s="89"/>
    </row>
    <row r="407" spans="5:6" ht="25.5" customHeight="1">
      <c r="E407" s="89"/>
      <c r="F407" s="89"/>
    </row>
    <row r="408" spans="5:6" ht="25.5" customHeight="1">
      <c r="E408" s="89"/>
      <c r="F408" s="89"/>
    </row>
    <row r="409" spans="5:6" ht="25.5" customHeight="1">
      <c r="E409" s="89"/>
      <c r="F409" s="89"/>
    </row>
    <row r="410" spans="5:6" ht="25.5" customHeight="1">
      <c r="E410" s="89"/>
      <c r="F410" s="89"/>
    </row>
    <row r="411" spans="5:6" ht="25.5" customHeight="1">
      <c r="E411" s="89"/>
      <c r="F411" s="89"/>
    </row>
    <row r="412" spans="5:6" ht="25.5" customHeight="1">
      <c r="E412" s="89"/>
      <c r="F412" s="89"/>
    </row>
    <row r="413" spans="5:6" ht="25.5" customHeight="1">
      <c r="E413" s="89"/>
      <c r="F413" s="89"/>
    </row>
    <row r="414" spans="5:6" ht="25.5" customHeight="1">
      <c r="E414" s="89"/>
      <c r="F414" s="89"/>
    </row>
    <row r="415" spans="5:6" ht="25.5" customHeight="1">
      <c r="E415" s="89"/>
      <c r="F415" s="89"/>
    </row>
    <row r="416" spans="5:6" ht="25.5" customHeight="1">
      <c r="E416" s="89"/>
      <c r="F416" s="89"/>
    </row>
    <row r="417" spans="5:6" ht="25.5" customHeight="1">
      <c r="E417" s="89"/>
      <c r="F417" s="89"/>
    </row>
    <row r="418" spans="5:6" ht="25.5" customHeight="1">
      <c r="E418" s="89"/>
      <c r="F418" s="89"/>
    </row>
    <row r="419" spans="5:6" ht="25.5" customHeight="1">
      <c r="E419" s="89"/>
      <c r="F419" s="89"/>
    </row>
    <row r="420" spans="5:6" ht="25.5" customHeight="1">
      <c r="E420" s="89"/>
      <c r="F420" s="89"/>
    </row>
    <row r="421" spans="5:6" ht="25.5" customHeight="1">
      <c r="E421" s="89"/>
      <c r="F421" s="89"/>
    </row>
    <row r="422" spans="5:6" ht="25.5" customHeight="1">
      <c r="E422" s="89"/>
      <c r="F422" s="89"/>
    </row>
    <row r="423" spans="5:6" ht="25.5" customHeight="1">
      <c r="E423" s="89"/>
      <c r="F423" s="89"/>
    </row>
    <row r="424" spans="5:6" ht="25.5" customHeight="1">
      <c r="E424" s="89"/>
      <c r="F424" s="89"/>
    </row>
    <row r="425" spans="5:6" ht="25.5" customHeight="1">
      <c r="E425" s="89"/>
      <c r="F425" s="89"/>
    </row>
    <row r="426" spans="5:6" ht="25.5" customHeight="1">
      <c r="E426" s="89"/>
      <c r="F426" s="89"/>
    </row>
    <row r="427" spans="5:6" ht="25.5" customHeight="1">
      <c r="E427" s="89"/>
      <c r="F427" s="89"/>
    </row>
    <row r="428" spans="5:6" ht="25.5" customHeight="1">
      <c r="E428" s="89"/>
      <c r="F428" s="89"/>
    </row>
    <row r="429" spans="5:6" ht="25.5" customHeight="1">
      <c r="E429" s="89"/>
      <c r="F429" s="89"/>
    </row>
    <row r="430" spans="5:6" ht="25.5" customHeight="1">
      <c r="E430" s="89"/>
      <c r="F430" s="89"/>
    </row>
    <row r="431" spans="5:6" ht="25.5" customHeight="1">
      <c r="E431" s="89"/>
      <c r="F431" s="89"/>
    </row>
    <row r="432" spans="5:6" ht="25.5" customHeight="1">
      <c r="E432" s="89"/>
      <c r="F432" s="89"/>
    </row>
    <row r="433" spans="5:6" ht="25.5" customHeight="1">
      <c r="E433" s="89"/>
      <c r="F433" s="89"/>
    </row>
    <row r="434" spans="5:6" ht="25.5" customHeight="1">
      <c r="E434" s="89"/>
      <c r="F434" s="89"/>
    </row>
    <row r="435" spans="5:6" ht="25.5" customHeight="1">
      <c r="E435" s="89"/>
      <c r="F435" s="89"/>
    </row>
    <row r="436" spans="5:6" ht="25.5" customHeight="1">
      <c r="E436" s="89"/>
      <c r="F436" s="89"/>
    </row>
    <row r="437" spans="5:6" ht="25.5" customHeight="1">
      <c r="E437" s="89"/>
      <c r="F437" s="89"/>
    </row>
    <row r="438" spans="5:6" ht="25.5" customHeight="1">
      <c r="E438" s="89"/>
      <c r="F438" s="89"/>
    </row>
    <row r="439" spans="5:6" ht="25.5" customHeight="1">
      <c r="E439" s="89"/>
      <c r="F439" s="89"/>
    </row>
    <row r="440" spans="5:6" ht="25.5" customHeight="1">
      <c r="E440" s="89"/>
      <c r="F440" s="89"/>
    </row>
    <row r="441" spans="5:6" ht="25.5" customHeight="1">
      <c r="E441" s="89"/>
      <c r="F441" s="89"/>
    </row>
    <row r="442" spans="5:6" ht="25.5" customHeight="1">
      <c r="E442" s="89"/>
      <c r="F442" s="89"/>
    </row>
    <row r="443" spans="5:6" ht="25.5" customHeight="1">
      <c r="E443" s="89"/>
      <c r="F443" s="89"/>
    </row>
    <row r="444" spans="5:6" ht="25.5" customHeight="1">
      <c r="E444" s="89"/>
      <c r="F444" s="89"/>
    </row>
    <row r="445" spans="5:6" ht="25.5" customHeight="1">
      <c r="E445" s="89"/>
      <c r="F445" s="89"/>
    </row>
    <row r="446" spans="5:6" ht="25.5" customHeight="1">
      <c r="E446" s="89"/>
      <c r="F446" s="89"/>
    </row>
    <row r="447" spans="5:6" ht="25.5" customHeight="1">
      <c r="E447" s="89"/>
      <c r="F447" s="89"/>
    </row>
    <row r="448" spans="5:6" ht="25.5" customHeight="1">
      <c r="E448" s="89"/>
      <c r="F448" s="89"/>
    </row>
    <row r="449" spans="5:6" ht="25.5" customHeight="1">
      <c r="E449" s="89"/>
      <c r="F449" s="89"/>
    </row>
    <row r="450" spans="5:6" ht="25.5" customHeight="1">
      <c r="E450" s="89"/>
      <c r="F450" s="89"/>
    </row>
    <row r="451" spans="5:6" ht="25.5" customHeight="1">
      <c r="E451" s="89"/>
      <c r="F451" s="89"/>
    </row>
    <row r="452" spans="5:6" ht="25.5" customHeight="1">
      <c r="E452" s="89"/>
      <c r="F452" s="89"/>
    </row>
    <row r="453" spans="5:6" ht="25.5" customHeight="1">
      <c r="E453" s="89"/>
      <c r="F453" s="89"/>
    </row>
    <row r="454" spans="5:6" ht="25.5" customHeight="1">
      <c r="E454" s="89"/>
      <c r="F454" s="89"/>
    </row>
    <row r="455" spans="5:6" ht="25.5" customHeight="1">
      <c r="E455" s="89"/>
      <c r="F455" s="89"/>
    </row>
    <row r="456" spans="5:6" ht="25.5" customHeight="1">
      <c r="E456" s="89"/>
      <c r="F456" s="89"/>
    </row>
    <row r="457" spans="5:6" ht="25.5" customHeight="1">
      <c r="E457" s="89"/>
      <c r="F457" s="89"/>
    </row>
    <row r="458" spans="5:6" ht="25.5" customHeight="1">
      <c r="E458" s="89"/>
      <c r="F458" s="89"/>
    </row>
    <row r="459" spans="5:6" ht="25.5" customHeight="1">
      <c r="E459" s="89"/>
      <c r="F459" s="89"/>
    </row>
    <row r="460" spans="5:6" ht="25.5" customHeight="1">
      <c r="E460" s="89"/>
      <c r="F460" s="89"/>
    </row>
    <row r="461" spans="5:6" ht="25.5" customHeight="1">
      <c r="E461" s="89"/>
      <c r="F461" s="89"/>
    </row>
    <row r="462" spans="5:6" ht="25.5" customHeight="1">
      <c r="E462" s="89"/>
      <c r="F462" s="89"/>
    </row>
    <row r="463" spans="5:6" ht="25.5" customHeight="1">
      <c r="E463" s="89"/>
      <c r="F463" s="89"/>
    </row>
    <row r="464" spans="5:6" ht="25.5" customHeight="1">
      <c r="E464" s="89"/>
      <c r="F464" s="89"/>
    </row>
    <row r="465" spans="5:6" ht="25.5" customHeight="1">
      <c r="E465" s="89"/>
      <c r="F465" s="89"/>
    </row>
    <row r="466" spans="5:6" ht="25.5" customHeight="1">
      <c r="E466" s="89"/>
      <c r="F466" s="89"/>
    </row>
    <row r="467" spans="5:6" ht="25.5" customHeight="1">
      <c r="E467" s="89"/>
      <c r="F467" s="89"/>
    </row>
    <row r="468" spans="5:6" ht="25.5" customHeight="1">
      <c r="E468" s="89"/>
      <c r="F468" s="89"/>
    </row>
    <row r="469" spans="5:6" ht="25.5" customHeight="1">
      <c r="E469" s="89"/>
      <c r="F469" s="89"/>
    </row>
    <row r="470" spans="5:6" ht="25.5" customHeight="1">
      <c r="E470" s="89"/>
      <c r="F470" s="89"/>
    </row>
    <row r="471" spans="5:6" ht="25.5" customHeight="1">
      <c r="E471" s="89"/>
      <c r="F471" s="89"/>
    </row>
    <row r="472" spans="5:6" ht="25.5" customHeight="1">
      <c r="E472" s="89"/>
      <c r="F472" s="89"/>
    </row>
    <row r="473" spans="5:6" ht="25.5" customHeight="1">
      <c r="E473" s="89"/>
      <c r="F473" s="89"/>
    </row>
    <row r="474" spans="5:6" ht="25.5" customHeight="1">
      <c r="E474" s="89"/>
      <c r="F474" s="89"/>
    </row>
    <row r="475" spans="5:6" ht="25.5" customHeight="1">
      <c r="E475" s="89"/>
      <c r="F475" s="89"/>
    </row>
    <row r="476" spans="5:6" ht="25.5" customHeight="1">
      <c r="E476" s="89"/>
      <c r="F476" s="89"/>
    </row>
    <row r="477" spans="5:6" ht="25.5" customHeight="1">
      <c r="E477" s="89"/>
      <c r="F477" s="89"/>
    </row>
    <row r="478" spans="5:6" ht="25.5" customHeight="1">
      <c r="E478" s="89"/>
      <c r="F478" s="89"/>
    </row>
    <row r="479" spans="5:6" ht="25.5" customHeight="1">
      <c r="E479" s="89"/>
      <c r="F479" s="89"/>
    </row>
    <row r="480" spans="5:6" ht="25.5" customHeight="1">
      <c r="E480" s="89"/>
      <c r="F480" s="89"/>
    </row>
    <row r="481" spans="5:6" ht="25.5" customHeight="1">
      <c r="E481" s="89"/>
      <c r="F481" s="89"/>
    </row>
    <row r="482" spans="5:6" ht="25.5" customHeight="1">
      <c r="E482" s="89"/>
      <c r="F482" s="89"/>
    </row>
    <row r="483" spans="5:6" ht="25.5" customHeight="1">
      <c r="E483" s="89"/>
      <c r="F483" s="89"/>
    </row>
    <row r="484" spans="5:6" ht="25.5" customHeight="1">
      <c r="E484" s="89"/>
      <c r="F484" s="89"/>
    </row>
    <row r="485" spans="5:6" ht="25.5" customHeight="1">
      <c r="E485" s="89"/>
      <c r="F485" s="89"/>
    </row>
    <row r="486" spans="5:6" ht="25.5" customHeight="1">
      <c r="E486" s="89"/>
      <c r="F486" s="89"/>
    </row>
    <row r="487" spans="5:6" ht="25.5" customHeight="1">
      <c r="E487" s="89"/>
      <c r="F487" s="89"/>
    </row>
    <row r="488" spans="5:6" ht="25.5" customHeight="1">
      <c r="E488" s="89"/>
      <c r="F488" s="89"/>
    </row>
    <row r="489" spans="5:6" ht="25.5" customHeight="1">
      <c r="E489" s="89"/>
      <c r="F489" s="89"/>
    </row>
    <row r="490" spans="5:6" ht="25.5" customHeight="1">
      <c r="E490" s="89"/>
      <c r="F490" s="89"/>
    </row>
    <row r="491" spans="5:6" ht="25.5" customHeight="1">
      <c r="E491" s="89"/>
      <c r="F491" s="89"/>
    </row>
    <row r="492" spans="5:6" ht="25.5" customHeight="1">
      <c r="E492" s="89"/>
      <c r="F492" s="89"/>
    </row>
    <row r="493" spans="5:6" ht="25.5" customHeight="1">
      <c r="E493" s="89"/>
      <c r="F493" s="89"/>
    </row>
    <row r="494" spans="5:6" ht="25.5" customHeight="1">
      <c r="E494" s="89"/>
      <c r="F494" s="89"/>
    </row>
    <row r="495" spans="5:6" ht="25.5" customHeight="1">
      <c r="E495" s="89"/>
      <c r="F495" s="89"/>
    </row>
    <row r="496" spans="5:6" ht="25.5" customHeight="1">
      <c r="E496" s="89"/>
      <c r="F496" s="89"/>
    </row>
    <row r="497" spans="5:6" ht="25.5" customHeight="1">
      <c r="E497" s="89"/>
      <c r="F497" s="89"/>
    </row>
    <row r="498" spans="5:6" ht="25.5" customHeight="1">
      <c r="E498" s="89"/>
      <c r="F498" s="89"/>
    </row>
    <row r="499" spans="5:6" ht="25.5" customHeight="1">
      <c r="E499" s="89"/>
      <c r="F499" s="89"/>
    </row>
    <row r="500" spans="5:6" ht="25.5" customHeight="1">
      <c r="E500" s="89"/>
      <c r="F500" s="89"/>
    </row>
    <row r="501" spans="5:6" ht="25.5" customHeight="1">
      <c r="E501" s="89"/>
      <c r="F501" s="89"/>
    </row>
    <row r="502" spans="5:6" ht="25.5" customHeight="1">
      <c r="E502" s="89"/>
      <c r="F502" s="89"/>
    </row>
    <row r="503" spans="5:6" ht="25.5" customHeight="1">
      <c r="E503" s="89"/>
      <c r="F503" s="89"/>
    </row>
    <row r="504" spans="5:6" ht="25.5" customHeight="1">
      <c r="E504" s="89"/>
      <c r="F504" s="89"/>
    </row>
    <row r="505" spans="5:6" ht="25.5" customHeight="1">
      <c r="E505" s="89"/>
      <c r="F505" s="89"/>
    </row>
    <row r="506" spans="5:6" ht="25.5" customHeight="1">
      <c r="E506" s="89"/>
      <c r="F506" s="89"/>
    </row>
    <row r="507" spans="5:6" ht="25.5" customHeight="1">
      <c r="E507" s="89"/>
      <c r="F507" s="89"/>
    </row>
    <row r="508" spans="5:6" ht="25.5" customHeight="1">
      <c r="E508" s="89"/>
      <c r="F508" s="89"/>
    </row>
    <row r="509" spans="5:6" ht="25.5" customHeight="1">
      <c r="E509" s="89"/>
      <c r="F509" s="89"/>
    </row>
    <row r="510" spans="5:6" ht="25.5" customHeight="1">
      <c r="E510" s="89"/>
      <c r="F510" s="89"/>
    </row>
    <row r="511" spans="5:6" ht="25.5" customHeight="1">
      <c r="E511" s="89"/>
      <c r="F511" s="89"/>
    </row>
    <row r="512" spans="5:6" ht="25.5" customHeight="1">
      <c r="E512" s="89"/>
      <c r="F512" s="89"/>
    </row>
    <row r="513" spans="5:6" ht="25.5" customHeight="1">
      <c r="E513" s="89"/>
      <c r="F513" s="89"/>
    </row>
    <row r="514" spans="5:6" ht="25.5" customHeight="1">
      <c r="E514" s="89"/>
      <c r="F514" s="89"/>
    </row>
    <row r="515" spans="5:6" ht="25.5" customHeight="1">
      <c r="E515" s="89"/>
      <c r="F515" s="89"/>
    </row>
    <row r="516" spans="5:6" ht="25.5" customHeight="1">
      <c r="E516" s="89"/>
      <c r="F516" s="89"/>
    </row>
    <row r="517" spans="5:6" ht="25.5" customHeight="1">
      <c r="E517" s="89"/>
      <c r="F517" s="89"/>
    </row>
    <row r="518" spans="5:6" ht="25.5" customHeight="1">
      <c r="E518" s="89"/>
      <c r="F518" s="89"/>
    </row>
    <row r="519" spans="5:6" ht="25.5" customHeight="1">
      <c r="E519" s="89"/>
      <c r="F519" s="89"/>
    </row>
    <row r="520" spans="5:6" ht="25.5" customHeight="1">
      <c r="E520" s="89"/>
      <c r="F520" s="89"/>
    </row>
    <row r="521" spans="5:6" ht="25.5" customHeight="1">
      <c r="E521" s="89"/>
      <c r="F521" s="89"/>
    </row>
    <row r="522" spans="5:6" ht="25.5" customHeight="1">
      <c r="E522" s="89"/>
      <c r="F522" s="89"/>
    </row>
    <row r="523" spans="5:6" ht="25.5" customHeight="1">
      <c r="E523" s="89"/>
      <c r="F523" s="89"/>
    </row>
    <row r="524" spans="5:6" ht="25.5" customHeight="1">
      <c r="E524" s="89"/>
      <c r="F524" s="89"/>
    </row>
    <row r="525" spans="5:6" ht="25.5" customHeight="1">
      <c r="E525" s="89"/>
      <c r="F525" s="89"/>
    </row>
    <row r="526" spans="5:6" ht="25.5" customHeight="1">
      <c r="E526" s="89"/>
      <c r="F526" s="89"/>
    </row>
    <row r="527" spans="5:6" ht="25.5" customHeight="1">
      <c r="E527" s="89"/>
      <c r="F527" s="89"/>
    </row>
    <row r="528" spans="5:6" ht="25.5" customHeight="1">
      <c r="E528" s="89"/>
      <c r="F528" s="89"/>
    </row>
    <row r="529" spans="5:6" ht="25.5" customHeight="1">
      <c r="E529" s="89"/>
      <c r="F529" s="89"/>
    </row>
    <row r="530" spans="5:6" ht="25.5" customHeight="1">
      <c r="E530" s="89"/>
      <c r="F530" s="89"/>
    </row>
    <row r="531" spans="5:6" ht="25.5" customHeight="1">
      <c r="E531" s="89"/>
      <c r="F531" s="89"/>
    </row>
    <row r="532" spans="5:6" ht="25.5" customHeight="1">
      <c r="E532" s="89"/>
      <c r="F532" s="89"/>
    </row>
    <row r="533" spans="5:6" ht="25.5" customHeight="1">
      <c r="E533" s="89"/>
      <c r="F533" s="89"/>
    </row>
    <row r="534" spans="5:6" ht="25.5" customHeight="1">
      <c r="E534" s="89"/>
      <c r="F534" s="89"/>
    </row>
    <row r="535" spans="5:6" ht="25.5" customHeight="1">
      <c r="E535" s="89"/>
      <c r="F535" s="89"/>
    </row>
    <row r="536" spans="5:6" ht="25.5" customHeight="1">
      <c r="E536" s="89"/>
      <c r="F536" s="89"/>
    </row>
    <row r="537" spans="5:6" ht="25.5" customHeight="1">
      <c r="E537" s="89"/>
      <c r="F537" s="89"/>
    </row>
    <row r="538" spans="5:6" ht="25.5" customHeight="1">
      <c r="E538" s="89"/>
      <c r="F538" s="89"/>
    </row>
    <row r="539" spans="5:6" ht="25.5" customHeight="1">
      <c r="E539" s="89"/>
      <c r="F539" s="89"/>
    </row>
    <row r="540" spans="5:6" ht="25.5" customHeight="1">
      <c r="E540" s="89"/>
      <c r="F540" s="89"/>
    </row>
    <row r="541" spans="5:6" ht="25.5" customHeight="1">
      <c r="E541" s="89"/>
      <c r="F541" s="89"/>
    </row>
    <row r="542" spans="5:6" ht="25.5" customHeight="1">
      <c r="E542" s="89"/>
      <c r="F542" s="89"/>
    </row>
    <row r="543" spans="5:6" ht="25.5" customHeight="1">
      <c r="E543" s="89"/>
      <c r="F543" s="89"/>
    </row>
    <row r="544" spans="5:6" ht="25.5" customHeight="1">
      <c r="E544" s="89"/>
      <c r="F544" s="89"/>
    </row>
    <row r="545" spans="5:6" ht="25.5" customHeight="1">
      <c r="E545" s="89"/>
      <c r="F545" s="89"/>
    </row>
    <row r="546" spans="5:6" ht="25.5" customHeight="1">
      <c r="E546" s="89"/>
      <c r="F546" s="89"/>
    </row>
    <row r="547" spans="5:6" ht="25.5" customHeight="1">
      <c r="E547" s="89"/>
      <c r="F547" s="89"/>
    </row>
    <row r="548" spans="5:6" ht="25.5" customHeight="1">
      <c r="E548" s="89"/>
      <c r="F548" s="89"/>
    </row>
    <row r="549" spans="5:6" ht="25.5" customHeight="1">
      <c r="E549" s="89"/>
      <c r="F549" s="89"/>
    </row>
    <row r="550" spans="5:6" ht="25.5" customHeight="1">
      <c r="E550" s="89"/>
      <c r="F550" s="89"/>
    </row>
    <row r="551" spans="5:6" ht="25.5" customHeight="1">
      <c r="E551" s="89"/>
      <c r="F551" s="89"/>
    </row>
    <row r="552" spans="5:6" ht="25.5" customHeight="1">
      <c r="E552" s="89"/>
      <c r="F552" s="89"/>
    </row>
    <row r="553" spans="5:6" ht="25.5" customHeight="1">
      <c r="E553" s="89"/>
      <c r="F553" s="89"/>
    </row>
    <row r="554" spans="5:6" ht="25.5" customHeight="1">
      <c r="E554" s="89"/>
      <c r="F554" s="89"/>
    </row>
    <row r="555" spans="5:6" ht="25.5" customHeight="1">
      <c r="E555" s="89"/>
      <c r="F555" s="89"/>
    </row>
    <row r="556" spans="5:6" ht="25.5" customHeight="1">
      <c r="E556" s="89"/>
      <c r="F556" s="89"/>
    </row>
    <row r="557" spans="5:6" ht="25.5" customHeight="1">
      <c r="E557" s="89"/>
      <c r="F557" s="89"/>
    </row>
    <row r="558" spans="5:6" ht="25.5" customHeight="1">
      <c r="E558" s="89"/>
      <c r="F558" s="89"/>
    </row>
    <row r="559" spans="5:6" ht="25.5" customHeight="1">
      <c r="E559" s="89"/>
      <c r="F559" s="89"/>
    </row>
    <row r="560" spans="5:6" ht="25.5" customHeight="1">
      <c r="E560" s="89"/>
      <c r="F560" s="89"/>
    </row>
    <row r="561" spans="5:6" ht="25.5" customHeight="1">
      <c r="E561" s="89"/>
      <c r="F561" s="89"/>
    </row>
    <row r="562" spans="5:6" ht="25.5" customHeight="1">
      <c r="E562" s="89"/>
      <c r="F562" s="89"/>
    </row>
    <row r="563" spans="5:6" ht="25.5" customHeight="1">
      <c r="E563" s="89"/>
      <c r="F563" s="89"/>
    </row>
    <row r="564" spans="5:6" ht="25.5" customHeight="1">
      <c r="E564" s="89"/>
      <c r="F564" s="89"/>
    </row>
    <row r="565" spans="5:6" ht="25.5" customHeight="1">
      <c r="E565" s="89"/>
      <c r="F565" s="89"/>
    </row>
    <row r="566" spans="5:6" ht="25.5" customHeight="1">
      <c r="E566" s="89"/>
      <c r="F566" s="89"/>
    </row>
    <row r="567" spans="5:6" ht="25.5" customHeight="1">
      <c r="E567" s="89"/>
      <c r="F567" s="89"/>
    </row>
    <row r="568" spans="5:6" ht="25.5" customHeight="1">
      <c r="E568" s="89"/>
      <c r="F568" s="89"/>
    </row>
    <row r="569" spans="5:6" ht="25.5" customHeight="1">
      <c r="E569" s="89"/>
      <c r="F569" s="89"/>
    </row>
    <row r="570" spans="5:6" ht="25.5" customHeight="1">
      <c r="E570" s="89"/>
      <c r="F570" s="89"/>
    </row>
    <row r="571" spans="5:6" ht="25.5" customHeight="1">
      <c r="E571" s="89"/>
      <c r="F571" s="89"/>
    </row>
    <row r="572" spans="5:6" ht="25.5" customHeight="1">
      <c r="E572" s="89"/>
      <c r="F572" s="89"/>
    </row>
    <row r="573" spans="5:6" ht="25.5" customHeight="1">
      <c r="E573" s="89"/>
      <c r="F573" s="89"/>
    </row>
    <row r="574" spans="5:6" ht="25.5" customHeight="1">
      <c r="E574" s="89"/>
      <c r="F574" s="89"/>
    </row>
    <row r="575" spans="5:6" ht="25.5" customHeight="1">
      <c r="E575" s="89"/>
      <c r="F575" s="89"/>
    </row>
    <row r="576" spans="5:6" ht="25.5" customHeight="1">
      <c r="E576" s="89"/>
      <c r="F576" s="89"/>
    </row>
    <row r="577" spans="5:6" ht="25.5" customHeight="1">
      <c r="E577" s="89"/>
      <c r="F577" s="89"/>
    </row>
    <row r="578" spans="5:6" ht="25.5" customHeight="1">
      <c r="E578" s="89"/>
      <c r="F578" s="89"/>
    </row>
    <row r="579" spans="5:6" ht="25.5" customHeight="1">
      <c r="E579" s="89"/>
      <c r="F579" s="89"/>
    </row>
    <row r="580" spans="5:6" ht="25.5" customHeight="1">
      <c r="E580" s="89"/>
      <c r="F580" s="89"/>
    </row>
    <row r="581" spans="5:6" ht="25.5" customHeight="1">
      <c r="E581" s="89"/>
      <c r="F581" s="89"/>
    </row>
    <row r="582" spans="5:6" ht="25.5" customHeight="1">
      <c r="E582" s="89"/>
      <c r="F582" s="89"/>
    </row>
    <row r="583" spans="5:6" ht="25.5" customHeight="1">
      <c r="E583" s="89"/>
      <c r="F583" s="89"/>
    </row>
    <row r="584" spans="5:6" ht="25.5" customHeight="1">
      <c r="E584" s="89"/>
      <c r="F584" s="89"/>
    </row>
    <row r="585" spans="5:6" ht="25.5" customHeight="1">
      <c r="E585" s="89"/>
      <c r="F585" s="89"/>
    </row>
    <row r="586" spans="5:6" ht="25.5" customHeight="1">
      <c r="E586" s="89"/>
      <c r="F586" s="89"/>
    </row>
    <row r="587" spans="5:6" ht="25.5" customHeight="1">
      <c r="E587" s="89"/>
      <c r="F587" s="89"/>
    </row>
    <row r="588" spans="5:6" ht="25.5" customHeight="1">
      <c r="E588" s="89"/>
      <c r="F588" s="89"/>
    </row>
    <row r="589" spans="5:6" ht="25.5" customHeight="1">
      <c r="E589" s="89"/>
      <c r="F589" s="89"/>
    </row>
    <row r="590" spans="5:6" ht="25.5" customHeight="1">
      <c r="E590" s="89"/>
      <c r="F590" s="89"/>
    </row>
    <row r="591" spans="5:6" ht="25.5" customHeight="1">
      <c r="E591" s="89"/>
      <c r="F591" s="89"/>
    </row>
    <row r="592" spans="5:6" ht="25.5" customHeight="1">
      <c r="E592" s="89"/>
      <c r="F592" s="89"/>
    </row>
    <row r="593" spans="5:6" ht="25.5" customHeight="1">
      <c r="E593" s="89"/>
      <c r="F593" s="89"/>
    </row>
    <row r="594" spans="5:6" ht="25.5" customHeight="1">
      <c r="E594" s="89"/>
      <c r="F594" s="89"/>
    </row>
    <row r="595" spans="5:6" ht="25.5" customHeight="1">
      <c r="E595" s="89"/>
      <c r="F595" s="89"/>
    </row>
    <row r="596" spans="5:6" ht="25.5" customHeight="1">
      <c r="E596" s="89"/>
      <c r="F596" s="89"/>
    </row>
    <row r="597" spans="5:6" ht="25.5" customHeight="1">
      <c r="E597" s="89"/>
      <c r="F597" s="89"/>
    </row>
    <row r="598" spans="5:6" ht="25.5" customHeight="1">
      <c r="E598" s="89"/>
      <c r="F598" s="89"/>
    </row>
    <row r="599" spans="5:6" ht="25.5" customHeight="1">
      <c r="E599" s="89"/>
      <c r="F599" s="89"/>
    </row>
    <row r="600" spans="5:6" ht="25.5" customHeight="1">
      <c r="E600" s="89"/>
      <c r="F600" s="89"/>
    </row>
    <row r="601" spans="5:6" ht="25.5" customHeight="1">
      <c r="E601" s="89"/>
      <c r="F601" s="89"/>
    </row>
    <row r="602" spans="5:6" ht="25.5" customHeight="1">
      <c r="E602" s="89"/>
      <c r="F602" s="89"/>
    </row>
    <row r="603" spans="5:6" ht="25.5" customHeight="1">
      <c r="E603" s="89"/>
      <c r="F603" s="89"/>
    </row>
    <row r="604" spans="5:6" ht="25.5" customHeight="1">
      <c r="E604" s="89"/>
      <c r="F604" s="89"/>
    </row>
    <row r="605" spans="5:6" ht="25.5" customHeight="1">
      <c r="E605" s="89"/>
      <c r="F605" s="89"/>
    </row>
    <row r="606" spans="5:6" ht="25.5" customHeight="1">
      <c r="E606" s="89"/>
      <c r="F606" s="89"/>
    </row>
    <row r="607" spans="5:6" ht="25.5" customHeight="1">
      <c r="E607" s="89"/>
      <c r="F607" s="89"/>
    </row>
    <row r="608" spans="5:6" ht="25.5" customHeight="1">
      <c r="E608" s="89"/>
      <c r="F608" s="89"/>
    </row>
    <row r="609" spans="5:6" ht="25.5" customHeight="1">
      <c r="E609" s="89"/>
      <c r="F609" s="89"/>
    </row>
    <row r="610" spans="5:6" ht="25.5" customHeight="1">
      <c r="E610" s="89"/>
      <c r="F610" s="89"/>
    </row>
    <row r="611" spans="5:6" ht="25.5" customHeight="1">
      <c r="E611" s="89"/>
      <c r="F611" s="89"/>
    </row>
    <row r="612" spans="5:6" ht="25.5" customHeight="1">
      <c r="E612" s="89"/>
      <c r="F612" s="89"/>
    </row>
    <row r="613" spans="5:6" ht="25.5" customHeight="1">
      <c r="E613" s="89"/>
      <c r="F613" s="89"/>
    </row>
    <row r="614" spans="5:6" ht="25.5" customHeight="1">
      <c r="E614" s="89"/>
      <c r="F614" s="89"/>
    </row>
    <row r="615" spans="5:6" ht="25.5" customHeight="1">
      <c r="E615" s="89"/>
      <c r="F615" s="89"/>
    </row>
    <row r="616" spans="5:6" ht="25.5" customHeight="1">
      <c r="E616" s="89"/>
      <c r="F616" s="89"/>
    </row>
    <row r="617" spans="5:6" ht="25.5" customHeight="1">
      <c r="E617" s="89"/>
      <c r="F617" s="89"/>
    </row>
    <row r="618" spans="5:6" ht="25.5" customHeight="1">
      <c r="E618" s="89"/>
      <c r="F618" s="89"/>
    </row>
    <row r="619" spans="5:6" ht="25.5" customHeight="1">
      <c r="E619" s="89"/>
      <c r="F619" s="89"/>
    </row>
    <row r="620" spans="5:6" ht="25.5" customHeight="1">
      <c r="E620" s="89"/>
      <c r="F620" s="89"/>
    </row>
    <row r="621" spans="5:6" ht="25.5" customHeight="1">
      <c r="E621" s="89"/>
      <c r="F621" s="89"/>
    </row>
    <row r="622" spans="5:6" ht="25.5" customHeight="1">
      <c r="E622" s="89"/>
      <c r="F622" s="89"/>
    </row>
    <row r="623" spans="5:6" ht="25.5" customHeight="1">
      <c r="E623" s="89"/>
      <c r="F623" s="89"/>
    </row>
    <row r="624" spans="5:6" ht="25.5" customHeight="1">
      <c r="E624" s="89"/>
      <c r="F624" s="89"/>
    </row>
    <row r="625" spans="5:6" ht="25.5" customHeight="1">
      <c r="E625" s="89"/>
      <c r="F625" s="89"/>
    </row>
    <row r="626" spans="5:6" ht="25.5" customHeight="1">
      <c r="E626" s="89"/>
      <c r="F626" s="89"/>
    </row>
    <row r="627" spans="5:6" ht="25.5" customHeight="1">
      <c r="E627" s="89"/>
      <c r="F627" s="89"/>
    </row>
    <row r="628" spans="5:6" ht="25.5" customHeight="1">
      <c r="E628" s="89"/>
      <c r="F628" s="89"/>
    </row>
    <row r="629" spans="5:6" ht="25.5" customHeight="1">
      <c r="E629" s="89"/>
      <c r="F629" s="89"/>
    </row>
    <row r="630" spans="5:6" ht="25.5" customHeight="1">
      <c r="E630" s="89"/>
      <c r="F630" s="89"/>
    </row>
    <row r="631" spans="5:6" ht="25.5" customHeight="1">
      <c r="E631" s="89"/>
      <c r="F631" s="89"/>
    </row>
    <row r="632" spans="5:6" ht="25.5" customHeight="1">
      <c r="E632" s="89"/>
      <c r="F632" s="89"/>
    </row>
    <row r="633" spans="5:6" ht="25.5" customHeight="1">
      <c r="E633" s="89"/>
      <c r="F633" s="89"/>
    </row>
    <row r="634" spans="5:6" ht="25.5" customHeight="1">
      <c r="E634" s="89"/>
      <c r="F634" s="89"/>
    </row>
    <row r="635" spans="5:6" ht="25.5" customHeight="1">
      <c r="E635" s="89"/>
      <c r="F635" s="89"/>
    </row>
    <row r="636" spans="5:6" ht="25.5" customHeight="1">
      <c r="E636" s="89"/>
      <c r="F636" s="89"/>
    </row>
    <row r="637" spans="5:6" ht="25.5" customHeight="1">
      <c r="E637" s="89"/>
      <c r="F637" s="89"/>
    </row>
    <row r="638" spans="5:6" ht="25.5" customHeight="1">
      <c r="E638" s="89"/>
      <c r="F638" s="89"/>
    </row>
    <row r="639" spans="5:6" ht="25.5" customHeight="1">
      <c r="E639" s="89"/>
      <c r="F639" s="89"/>
    </row>
    <row r="640" spans="5:6" ht="25.5" customHeight="1">
      <c r="E640" s="89"/>
      <c r="F640" s="89"/>
    </row>
    <row r="641" spans="5:6" ht="25.5" customHeight="1">
      <c r="E641" s="89"/>
      <c r="F641" s="89"/>
    </row>
    <row r="642" spans="5:6" ht="25.5" customHeight="1">
      <c r="E642" s="89"/>
      <c r="F642" s="89"/>
    </row>
    <row r="643" spans="5:6" ht="25.5" customHeight="1">
      <c r="E643" s="89"/>
      <c r="F643" s="89"/>
    </row>
    <row r="644" spans="5:6" ht="25.5" customHeight="1">
      <c r="E644" s="89"/>
      <c r="F644" s="89"/>
    </row>
    <row r="645" spans="5:6" ht="25.5" customHeight="1">
      <c r="E645" s="89"/>
      <c r="F645" s="89"/>
    </row>
    <row r="646" spans="5:6" ht="25.5" customHeight="1">
      <c r="E646" s="89"/>
      <c r="F646" s="89"/>
    </row>
    <row r="647" spans="5:6" ht="25.5" customHeight="1">
      <c r="E647" s="89"/>
      <c r="F647" s="89"/>
    </row>
    <row r="648" spans="5:6" ht="25.5" customHeight="1">
      <c r="E648" s="89"/>
      <c r="F648" s="89"/>
    </row>
    <row r="649" spans="5:6" ht="25.5" customHeight="1">
      <c r="E649" s="89"/>
      <c r="F649" s="89"/>
    </row>
    <row r="650" spans="5:6" ht="25.5" customHeight="1">
      <c r="E650" s="89"/>
      <c r="F650" s="89"/>
    </row>
    <row r="651" spans="5:6" ht="25.5" customHeight="1">
      <c r="E651" s="89"/>
      <c r="F651" s="89"/>
    </row>
    <row r="652" spans="5:6" ht="25.5" customHeight="1">
      <c r="E652" s="89"/>
      <c r="F652" s="89"/>
    </row>
    <row r="653" spans="5:6" ht="25.5" customHeight="1">
      <c r="E653" s="89"/>
      <c r="F653" s="89"/>
    </row>
    <row r="654" spans="5:6" ht="25.5" customHeight="1">
      <c r="E654" s="89"/>
      <c r="F654" s="89"/>
    </row>
    <row r="655" spans="5:6" ht="25.5" customHeight="1">
      <c r="E655" s="89"/>
      <c r="F655" s="89"/>
    </row>
    <row r="656" spans="5:6" ht="25.5" customHeight="1">
      <c r="E656" s="89"/>
      <c r="F656" s="89"/>
    </row>
    <row r="657" spans="5:6" ht="25.5" customHeight="1">
      <c r="E657" s="89"/>
      <c r="F657" s="89"/>
    </row>
    <row r="658" spans="5:6" ht="25.5" customHeight="1">
      <c r="E658" s="89"/>
      <c r="F658" s="89"/>
    </row>
    <row r="659" spans="5:6" ht="25.5" customHeight="1">
      <c r="E659" s="89"/>
      <c r="F659" s="89"/>
    </row>
    <row r="660" spans="5:6" ht="25.5" customHeight="1">
      <c r="E660" s="89"/>
      <c r="F660" s="89"/>
    </row>
    <row r="661" spans="5:6" ht="25.5" customHeight="1">
      <c r="E661" s="89"/>
      <c r="F661" s="89"/>
    </row>
    <row r="662" spans="5:6" ht="25.5" customHeight="1">
      <c r="E662" s="89"/>
      <c r="F662" s="89"/>
    </row>
    <row r="663" spans="5:6" ht="25.5" customHeight="1">
      <c r="E663" s="89"/>
      <c r="F663" s="89"/>
    </row>
    <row r="664" spans="5:6" ht="25.5" customHeight="1">
      <c r="E664" s="89"/>
      <c r="F664" s="89"/>
    </row>
    <row r="665" spans="5:6" ht="25.5" customHeight="1">
      <c r="E665" s="89"/>
      <c r="F665" s="89"/>
    </row>
    <row r="666" spans="5:6" ht="25.5" customHeight="1">
      <c r="E666" s="89"/>
      <c r="F666" s="89"/>
    </row>
    <row r="667" spans="5:6" ht="25.5" customHeight="1">
      <c r="E667" s="89"/>
      <c r="F667" s="89"/>
    </row>
    <row r="668" spans="5:6" ht="25.5" customHeight="1">
      <c r="E668" s="89"/>
      <c r="F668" s="89"/>
    </row>
    <row r="669" spans="5:6" ht="25.5" customHeight="1">
      <c r="E669" s="89"/>
      <c r="F669" s="89"/>
    </row>
    <row r="670" spans="5:6" ht="25.5" customHeight="1">
      <c r="E670" s="89"/>
      <c r="F670" s="89"/>
    </row>
    <row r="671" spans="5:6" ht="25.5" customHeight="1">
      <c r="E671" s="89"/>
      <c r="F671" s="89"/>
    </row>
    <row r="672" spans="5:6" ht="25.5" customHeight="1">
      <c r="E672" s="89"/>
      <c r="F672" s="89"/>
    </row>
    <row r="673" spans="5:6" ht="25.5" customHeight="1">
      <c r="E673" s="89"/>
      <c r="F673" s="89"/>
    </row>
    <row r="674" spans="5:6" ht="25.5" customHeight="1">
      <c r="E674" s="89"/>
      <c r="F674" s="89"/>
    </row>
    <row r="675" spans="5:6" ht="25.5" customHeight="1">
      <c r="E675" s="89"/>
      <c r="F675" s="89"/>
    </row>
    <row r="676" spans="5:6" ht="25.5" customHeight="1">
      <c r="E676" s="89"/>
      <c r="F676" s="89"/>
    </row>
    <row r="677" spans="5:6" ht="25.5" customHeight="1">
      <c r="E677" s="89"/>
      <c r="F677" s="89"/>
    </row>
    <row r="678" spans="5:6" ht="25.5" customHeight="1">
      <c r="E678" s="89"/>
      <c r="F678" s="89"/>
    </row>
    <row r="679" spans="5:6" ht="25.5" customHeight="1">
      <c r="E679" s="89"/>
      <c r="F679" s="89"/>
    </row>
    <row r="680" spans="5:6" ht="25.5" customHeight="1">
      <c r="E680" s="89"/>
      <c r="F680" s="89"/>
    </row>
    <row r="681" spans="5:6" ht="25.5" customHeight="1">
      <c r="E681" s="89"/>
      <c r="F681" s="89"/>
    </row>
    <row r="682" spans="5:6" ht="25.5" customHeight="1">
      <c r="E682" s="89"/>
      <c r="F682" s="89"/>
    </row>
    <row r="683" spans="5:6" ht="25.5" customHeight="1">
      <c r="E683" s="89"/>
      <c r="F683" s="89"/>
    </row>
    <row r="684" spans="5:6" ht="25.5" customHeight="1">
      <c r="E684" s="89"/>
      <c r="F684" s="89"/>
    </row>
    <row r="685" spans="5:6" ht="25.5" customHeight="1">
      <c r="E685" s="89"/>
      <c r="F685" s="89"/>
    </row>
    <row r="686" spans="5:6" ht="25.5" customHeight="1">
      <c r="E686" s="89"/>
      <c r="F686" s="89"/>
    </row>
    <row r="687" spans="5:6" ht="25.5" customHeight="1">
      <c r="E687" s="89"/>
      <c r="F687" s="89"/>
    </row>
    <row r="688" spans="5:6" ht="25.5" customHeight="1">
      <c r="E688" s="89"/>
      <c r="F688" s="89"/>
    </row>
    <row r="689" spans="5:6" ht="25.5" customHeight="1">
      <c r="E689" s="89"/>
      <c r="F689" s="89"/>
    </row>
    <row r="690" spans="5:6" ht="25.5" customHeight="1">
      <c r="E690" s="89"/>
      <c r="F690" s="89"/>
    </row>
    <row r="691" spans="5:6" ht="25.5" customHeight="1">
      <c r="E691" s="89"/>
      <c r="F691" s="89"/>
    </row>
    <row r="692" spans="5:6" ht="25.5" customHeight="1">
      <c r="E692" s="89"/>
      <c r="F692" s="89"/>
    </row>
    <row r="693" spans="5:6" ht="25.5" customHeight="1">
      <c r="E693" s="89"/>
      <c r="F693" s="89"/>
    </row>
    <row r="694" spans="5:6" ht="25.5" customHeight="1">
      <c r="E694" s="89"/>
      <c r="F694" s="89"/>
    </row>
    <row r="695" spans="5:6" ht="25.5" customHeight="1">
      <c r="E695" s="89"/>
      <c r="F695" s="89"/>
    </row>
    <row r="696" spans="5:6" ht="25.5" customHeight="1">
      <c r="E696" s="89"/>
      <c r="F696" s="89"/>
    </row>
    <row r="697" spans="5:6" ht="25.5" customHeight="1">
      <c r="E697" s="89"/>
      <c r="F697" s="89"/>
    </row>
    <row r="698" spans="5:6" ht="25.5" customHeight="1">
      <c r="E698" s="89"/>
      <c r="F698" s="89"/>
    </row>
    <row r="699" spans="5:6" ht="25.5" customHeight="1">
      <c r="E699" s="89"/>
      <c r="F699" s="89"/>
    </row>
    <row r="700" spans="5:6" ht="25.5" customHeight="1">
      <c r="E700" s="89"/>
      <c r="F700" s="89"/>
    </row>
    <row r="701" spans="5:6" ht="25.5" customHeight="1">
      <c r="E701" s="89"/>
      <c r="F701" s="89"/>
    </row>
    <row r="702" spans="5:6" ht="25.5" customHeight="1">
      <c r="E702" s="89"/>
      <c r="F702" s="89"/>
    </row>
    <row r="703" spans="5:6" ht="25.5" customHeight="1">
      <c r="E703" s="89"/>
      <c r="F703" s="89"/>
    </row>
    <row r="704" spans="5:6" ht="25.5" customHeight="1">
      <c r="E704" s="89"/>
      <c r="F704" s="89"/>
    </row>
    <row r="705" spans="5:6" ht="25.5" customHeight="1">
      <c r="E705" s="89"/>
      <c r="F705" s="89"/>
    </row>
    <row r="706" spans="5:6" ht="25.5" customHeight="1">
      <c r="E706" s="89"/>
      <c r="F706" s="89"/>
    </row>
    <row r="707" spans="5:6" ht="25.5" customHeight="1">
      <c r="E707" s="89"/>
      <c r="F707" s="89"/>
    </row>
    <row r="708" spans="5:6" ht="25.5" customHeight="1">
      <c r="E708" s="89"/>
      <c r="F708" s="89"/>
    </row>
    <row r="709" spans="5:6" ht="25.5" customHeight="1">
      <c r="E709" s="89"/>
      <c r="F709" s="89"/>
    </row>
    <row r="710" spans="5:6" ht="25.5" customHeight="1">
      <c r="E710" s="89"/>
      <c r="F710" s="89"/>
    </row>
    <row r="711" spans="5:6" ht="25.5" customHeight="1">
      <c r="E711" s="89"/>
      <c r="F711" s="89"/>
    </row>
    <row r="712" spans="5:6" ht="25.5" customHeight="1">
      <c r="E712" s="89"/>
      <c r="F712" s="89"/>
    </row>
    <row r="713" spans="5:6" ht="25.5" customHeight="1">
      <c r="E713" s="89"/>
      <c r="F713" s="89"/>
    </row>
    <row r="714" spans="5:6" ht="25.5" customHeight="1">
      <c r="E714" s="89"/>
      <c r="F714" s="89"/>
    </row>
    <row r="715" spans="5:6" ht="25.5" customHeight="1">
      <c r="E715" s="89"/>
      <c r="F715" s="89"/>
    </row>
    <row r="716" spans="5:6" ht="25.5" customHeight="1">
      <c r="E716" s="89"/>
      <c r="F716" s="89"/>
    </row>
    <row r="717" spans="5:6" ht="25.5" customHeight="1">
      <c r="E717" s="89"/>
      <c r="F717" s="89"/>
    </row>
    <row r="718" spans="5:6" ht="25.5" customHeight="1">
      <c r="E718" s="89"/>
      <c r="F718" s="89"/>
    </row>
    <row r="719" spans="5:6" ht="25.5" customHeight="1">
      <c r="E719" s="89"/>
      <c r="F719" s="89"/>
    </row>
    <row r="720" spans="5:6" ht="25.5" customHeight="1">
      <c r="E720" s="89"/>
      <c r="F720" s="89"/>
    </row>
    <row r="721" spans="5:6" ht="25.5" customHeight="1">
      <c r="E721" s="89"/>
      <c r="F721" s="89"/>
    </row>
    <row r="722" spans="5:6" ht="25.5" customHeight="1">
      <c r="E722" s="89"/>
      <c r="F722" s="89"/>
    </row>
    <row r="723" spans="5:6" ht="25.5" customHeight="1">
      <c r="E723" s="89"/>
      <c r="F723" s="89"/>
    </row>
    <row r="724" spans="5:6" ht="25.5" customHeight="1">
      <c r="E724" s="89"/>
      <c r="F724" s="89"/>
    </row>
    <row r="725" spans="5:6" ht="25.5" customHeight="1">
      <c r="E725" s="89"/>
      <c r="F725" s="89"/>
    </row>
    <row r="726" spans="5:6" ht="25.5" customHeight="1">
      <c r="E726" s="89"/>
      <c r="F726" s="89"/>
    </row>
    <row r="727" spans="5:6" ht="25.5" customHeight="1">
      <c r="E727" s="89"/>
      <c r="F727" s="89"/>
    </row>
    <row r="728" spans="5:6" ht="25.5" customHeight="1">
      <c r="E728" s="89"/>
      <c r="F728" s="89"/>
    </row>
    <row r="729" spans="5:6" ht="25.5" customHeight="1">
      <c r="E729" s="89"/>
      <c r="F729" s="89"/>
    </row>
    <row r="730" spans="5:6" ht="25.5" customHeight="1">
      <c r="E730" s="89"/>
      <c r="F730" s="89"/>
    </row>
    <row r="731" spans="5:6" ht="25.5" customHeight="1">
      <c r="E731" s="89"/>
      <c r="F731" s="89"/>
    </row>
    <row r="732" spans="5:6" ht="25.5" customHeight="1">
      <c r="E732" s="89"/>
      <c r="F732" s="89"/>
    </row>
    <row r="733" spans="5:6" ht="25.5" customHeight="1">
      <c r="E733" s="89"/>
      <c r="F733" s="89"/>
    </row>
    <row r="734" spans="5:6" ht="25.5" customHeight="1">
      <c r="E734" s="89"/>
      <c r="F734" s="89"/>
    </row>
    <row r="735" spans="5:6" ht="25.5" customHeight="1">
      <c r="E735" s="89"/>
      <c r="F735" s="89"/>
    </row>
    <row r="736" spans="5:6" ht="25.5" customHeight="1">
      <c r="E736" s="89"/>
      <c r="F736" s="89"/>
    </row>
    <row r="737" spans="5:6" ht="25.5" customHeight="1">
      <c r="E737" s="89"/>
      <c r="F737" s="89"/>
    </row>
    <row r="738" spans="5:6" ht="25.5" customHeight="1">
      <c r="E738" s="89"/>
      <c r="F738" s="89"/>
    </row>
    <row r="739" spans="5:6" ht="25.5" customHeight="1">
      <c r="E739" s="89"/>
      <c r="F739" s="89"/>
    </row>
    <row r="740" spans="5:6" ht="25.5" customHeight="1">
      <c r="E740" s="89"/>
      <c r="F740" s="89"/>
    </row>
    <row r="741" spans="5:6" ht="25.5" customHeight="1">
      <c r="E741" s="89"/>
      <c r="F741" s="89"/>
    </row>
    <row r="742" spans="5:6" ht="25.5" customHeight="1">
      <c r="E742" s="89"/>
      <c r="F742" s="89"/>
    </row>
    <row r="743" spans="5:6" ht="25.5" customHeight="1">
      <c r="E743" s="89"/>
      <c r="F743" s="89"/>
    </row>
    <row r="744" spans="5:6" ht="25.5" customHeight="1">
      <c r="E744" s="89"/>
      <c r="F744" s="89"/>
    </row>
    <row r="745" spans="5:6" ht="25.5" customHeight="1">
      <c r="E745" s="89"/>
      <c r="F745" s="89"/>
    </row>
    <row r="746" spans="5:6" ht="25.5" customHeight="1">
      <c r="E746" s="89"/>
      <c r="F746" s="89"/>
    </row>
    <row r="747" spans="5:6" ht="25.5" customHeight="1">
      <c r="E747" s="89"/>
      <c r="F747" s="89"/>
    </row>
    <row r="748" spans="5:6" ht="25.5" customHeight="1">
      <c r="E748" s="89"/>
      <c r="F748" s="89"/>
    </row>
    <row r="749" spans="5:6" ht="25.5" customHeight="1">
      <c r="E749" s="89"/>
      <c r="F749" s="89"/>
    </row>
    <row r="750" spans="5:6" ht="25.5" customHeight="1">
      <c r="E750" s="89"/>
      <c r="F750" s="89"/>
    </row>
    <row r="751" spans="5:6" ht="25.5" customHeight="1">
      <c r="E751" s="89"/>
      <c r="F751" s="89"/>
    </row>
    <row r="752" spans="5:6" ht="25.5" customHeight="1">
      <c r="E752" s="89"/>
      <c r="F752" s="89"/>
    </row>
    <row r="753" spans="5:6" ht="25.5" customHeight="1">
      <c r="E753" s="89"/>
      <c r="F753" s="89"/>
    </row>
    <row r="754" spans="5:6" ht="25.5" customHeight="1">
      <c r="E754" s="89"/>
      <c r="F754" s="89"/>
    </row>
    <row r="755" spans="5:6" ht="25.5" customHeight="1">
      <c r="E755" s="89"/>
      <c r="F755" s="89"/>
    </row>
    <row r="756" spans="5:6" ht="25.5" customHeight="1">
      <c r="E756" s="89"/>
      <c r="F756" s="89"/>
    </row>
    <row r="757" spans="5:6" ht="25.5" customHeight="1">
      <c r="E757" s="89"/>
      <c r="F757" s="89"/>
    </row>
    <row r="758" spans="5:6" ht="25.5" customHeight="1">
      <c r="E758" s="89"/>
      <c r="F758" s="89"/>
    </row>
    <row r="759" spans="5:6" ht="25.5" customHeight="1">
      <c r="E759" s="89"/>
      <c r="F759" s="89"/>
    </row>
    <row r="760" spans="5:6" ht="25.5" customHeight="1">
      <c r="E760" s="89"/>
      <c r="F760" s="89"/>
    </row>
    <row r="761" spans="5:6" ht="25.5" customHeight="1">
      <c r="E761" s="89"/>
      <c r="F761" s="89"/>
    </row>
    <row r="762" spans="5:6" ht="25.5" customHeight="1">
      <c r="E762" s="89"/>
      <c r="F762" s="89"/>
    </row>
    <row r="763" spans="5:6" ht="25.5" customHeight="1">
      <c r="E763" s="89"/>
      <c r="F763" s="89"/>
    </row>
    <row r="764" spans="5:6" ht="25.5" customHeight="1">
      <c r="E764" s="89"/>
      <c r="F764" s="89"/>
    </row>
    <row r="765" spans="5:6" ht="25.5" customHeight="1">
      <c r="E765" s="89"/>
      <c r="F765" s="89"/>
    </row>
    <row r="766" spans="5:6" ht="25.5" customHeight="1">
      <c r="E766" s="89"/>
      <c r="F766" s="89"/>
    </row>
    <row r="767" spans="5:6" ht="25.5" customHeight="1">
      <c r="E767" s="89"/>
      <c r="F767" s="89"/>
    </row>
    <row r="768" spans="5:6" ht="25.5" customHeight="1">
      <c r="E768" s="89"/>
      <c r="F768" s="89"/>
    </row>
    <row r="769" spans="5:6" ht="25.5" customHeight="1">
      <c r="E769" s="89"/>
      <c r="F769" s="89"/>
    </row>
    <row r="770" spans="5:6" ht="25.5" customHeight="1">
      <c r="E770" s="89"/>
      <c r="F770" s="89"/>
    </row>
    <row r="771" spans="5:6" ht="25.5" customHeight="1">
      <c r="E771" s="89"/>
      <c r="F771" s="89"/>
    </row>
    <row r="772" spans="5:6" ht="25.5" customHeight="1">
      <c r="E772" s="89"/>
      <c r="F772" s="89"/>
    </row>
    <row r="773" spans="5:6" ht="25.5" customHeight="1">
      <c r="E773" s="89"/>
      <c r="F773" s="89"/>
    </row>
    <row r="774" spans="5:6" ht="25.5" customHeight="1">
      <c r="E774" s="89"/>
      <c r="F774" s="89"/>
    </row>
    <row r="775" spans="5:6" ht="25.5" customHeight="1">
      <c r="E775" s="89"/>
      <c r="F775" s="89"/>
    </row>
    <row r="776" spans="5:6" ht="25.5" customHeight="1">
      <c r="E776" s="89"/>
      <c r="F776" s="89"/>
    </row>
    <row r="777" spans="5:6" ht="25.5" customHeight="1">
      <c r="E777" s="89"/>
      <c r="F777" s="89"/>
    </row>
    <row r="778" spans="5:6" ht="25.5" customHeight="1">
      <c r="E778" s="89"/>
      <c r="F778" s="89"/>
    </row>
    <row r="779" spans="5:6" ht="25.5" customHeight="1">
      <c r="E779" s="89"/>
      <c r="F779" s="89"/>
    </row>
    <row r="780" spans="5:6" ht="25.5" customHeight="1">
      <c r="E780" s="89"/>
      <c r="F780" s="89"/>
    </row>
    <row r="781" spans="5:6" ht="25.5" customHeight="1">
      <c r="E781" s="89"/>
      <c r="F781" s="89"/>
    </row>
    <row r="782" spans="5:6" ht="25.5" customHeight="1">
      <c r="E782" s="89"/>
      <c r="F782" s="89"/>
    </row>
    <row r="783" spans="5:6" ht="25.5" customHeight="1">
      <c r="E783" s="89"/>
      <c r="F783" s="89"/>
    </row>
    <row r="784" spans="5:6" ht="25.5" customHeight="1">
      <c r="E784" s="89"/>
      <c r="F784" s="89"/>
    </row>
    <row r="785" spans="5:6" ht="25.5" customHeight="1">
      <c r="E785" s="89"/>
      <c r="F785" s="89"/>
    </row>
    <row r="786" spans="5:6" ht="25.5" customHeight="1">
      <c r="E786" s="89"/>
      <c r="F786" s="89"/>
    </row>
    <row r="787" spans="5:6" ht="25.5" customHeight="1">
      <c r="E787" s="89"/>
      <c r="F787" s="89"/>
    </row>
    <row r="788" spans="5:6" ht="25.5" customHeight="1">
      <c r="E788" s="89"/>
      <c r="F788" s="89"/>
    </row>
    <row r="789" spans="5:6" ht="25.5" customHeight="1">
      <c r="E789" s="89"/>
      <c r="F789" s="89"/>
    </row>
    <row r="790" spans="5:6" ht="25.5" customHeight="1">
      <c r="E790" s="89"/>
      <c r="F790" s="89"/>
    </row>
    <row r="791" spans="5:6" ht="25.5" customHeight="1">
      <c r="E791" s="89"/>
      <c r="F791" s="89"/>
    </row>
    <row r="792" spans="5:6" ht="25.5" customHeight="1">
      <c r="E792" s="89"/>
      <c r="F792" s="89"/>
    </row>
    <row r="793" spans="5:6" ht="25.5" customHeight="1">
      <c r="E793" s="89"/>
      <c r="F793" s="89"/>
    </row>
    <row r="794" spans="5:6" ht="25.5" customHeight="1">
      <c r="E794" s="89"/>
      <c r="F794" s="89"/>
    </row>
    <row r="795" spans="5:6" ht="25.5" customHeight="1">
      <c r="E795" s="89"/>
      <c r="F795" s="89"/>
    </row>
    <row r="796" spans="5:6" ht="25.5" customHeight="1">
      <c r="E796" s="89"/>
      <c r="F796" s="89"/>
    </row>
    <row r="797" spans="5:6" ht="25.5" customHeight="1">
      <c r="E797" s="89"/>
      <c r="F797" s="89"/>
    </row>
    <row r="798" spans="5:6" ht="25.5" customHeight="1">
      <c r="E798" s="89"/>
      <c r="F798" s="89"/>
    </row>
    <row r="799" spans="5:6" ht="25.5" customHeight="1">
      <c r="E799" s="89"/>
      <c r="F799" s="89"/>
    </row>
    <row r="800" spans="5:6" ht="25.5" customHeight="1">
      <c r="E800" s="89"/>
      <c r="F800" s="89"/>
    </row>
    <row r="801" spans="5:6" ht="25.5" customHeight="1">
      <c r="E801" s="89"/>
      <c r="F801" s="89"/>
    </row>
    <row r="802" spans="5:6" ht="25.5" customHeight="1">
      <c r="E802" s="89"/>
      <c r="F802" s="89"/>
    </row>
    <row r="803" spans="5:6" ht="25.5" customHeight="1">
      <c r="E803" s="89"/>
      <c r="F803" s="89"/>
    </row>
    <row r="804" spans="5:6" ht="25.5" customHeight="1">
      <c r="E804" s="89"/>
      <c r="F804" s="89"/>
    </row>
    <row r="805" spans="5:6" ht="25.5" customHeight="1">
      <c r="E805" s="89"/>
      <c r="F805" s="89"/>
    </row>
    <row r="806" spans="5:6" ht="25.5" customHeight="1">
      <c r="E806" s="89"/>
      <c r="F806" s="89"/>
    </row>
    <row r="807" spans="5:6" ht="25.5" customHeight="1">
      <c r="E807" s="89"/>
      <c r="F807" s="89"/>
    </row>
    <row r="808" spans="5:6" ht="25.5" customHeight="1">
      <c r="E808" s="89"/>
      <c r="F808" s="89"/>
    </row>
    <row r="809" spans="5:6" ht="25.5" customHeight="1">
      <c r="E809" s="89"/>
      <c r="F809" s="89"/>
    </row>
    <row r="810" spans="5:6" ht="25.5" customHeight="1">
      <c r="E810" s="89"/>
      <c r="F810" s="89"/>
    </row>
    <row r="811" spans="5:6" ht="25.5" customHeight="1">
      <c r="E811" s="89"/>
      <c r="F811" s="89"/>
    </row>
    <row r="812" spans="5:6" ht="25.5" customHeight="1">
      <c r="E812" s="89"/>
      <c r="F812" s="89"/>
    </row>
    <row r="813" spans="5:6" ht="25.5" customHeight="1">
      <c r="E813" s="89"/>
      <c r="F813" s="89"/>
    </row>
    <row r="814" spans="5:6" ht="25.5" customHeight="1">
      <c r="E814" s="89"/>
      <c r="F814" s="89"/>
    </row>
    <row r="815" spans="5:6" ht="25.5" customHeight="1">
      <c r="E815" s="89"/>
      <c r="F815" s="89"/>
    </row>
    <row r="816" spans="5:6" ht="25.5" customHeight="1">
      <c r="E816" s="89"/>
      <c r="F816" s="89"/>
    </row>
    <row r="817" spans="5:6" ht="25.5" customHeight="1">
      <c r="E817" s="89"/>
      <c r="F817" s="89"/>
    </row>
    <row r="818" spans="5:6" ht="25.5" customHeight="1">
      <c r="E818" s="89"/>
      <c r="F818" s="89"/>
    </row>
    <row r="819" spans="5:6" ht="25.5" customHeight="1">
      <c r="E819" s="89"/>
      <c r="F819" s="89"/>
    </row>
    <row r="820" spans="5:6" ht="25.5" customHeight="1">
      <c r="E820" s="89"/>
      <c r="F820" s="89"/>
    </row>
    <row r="821" spans="5:6" ht="25.5" customHeight="1">
      <c r="E821" s="89"/>
      <c r="F821" s="89"/>
    </row>
    <row r="822" spans="5:6" ht="25.5" customHeight="1">
      <c r="E822" s="89"/>
      <c r="F822" s="89"/>
    </row>
    <row r="823" spans="5:6" ht="25.5" customHeight="1">
      <c r="E823" s="89"/>
      <c r="F823" s="89"/>
    </row>
    <row r="824" spans="5:6" ht="25.5" customHeight="1">
      <c r="E824" s="89"/>
      <c r="F824" s="89"/>
    </row>
    <row r="825" spans="5:6" ht="25.5" customHeight="1">
      <c r="E825" s="89"/>
      <c r="F825" s="89"/>
    </row>
    <row r="826" spans="5:6" ht="25.5" customHeight="1">
      <c r="E826" s="89"/>
      <c r="F826" s="89"/>
    </row>
    <row r="827" spans="5:6" ht="25.5" customHeight="1">
      <c r="E827" s="89"/>
      <c r="F827" s="89"/>
    </row>
    <row r="828" spans="5:6" ht="25.5" customHeight="1">
      <c r="E828" s="89"/>
      <c r="F828" s="89"/>
    </row>
    <row r="829" spans="5:6" ht="25.5" customHeight="1">
      <c r="E829" s="89"/>
      <c r="F829" s="89"/>
    </row>
    <row r="830" spans="5:6" ht="25.5" customHeight="1">
      <c r="E830" s="89"/>
      <c r="F830" s="89"/>
    </row>
    <row r="831" spans="5:6" ht="25.5" customHeight="1">
      <c r="E831" s="89"/>
      <c r="F831" s="89"/>
    </row>
    <row r="832" spans="5:6" ht="25.5" customHeight="1">
      <c r="E832" s="89"/>
      <c r="F832" s="89"/>
    </row>
    <row r="833" spans="5:6" ht="25.5" customHeight="1">
      <c r="E833" s="89"/>
      <c r="F833" s="89"/>
    </row>
    <row r="834" spans="5:6" ht="25.5" customHeight="1">
      <c r="E834" s="89"/>
      <c r="F834" s="89"/>
    </row>
    <row r="835" spans="5:6" ht="25.5" customHeight="1">
      <c r="E835" s="89"/>
      <c r="F835" s="89"/>
    </row>
    <row r="836" spans="5:6" ht="25.5" customHeight="1">
      <c r="E836" s="89"/>
      <c r="F836" s="89"/>
    </row>
    <row r="837" spans="5:6" ht="25.5" customHeight="1">
      <c r="E837" s="89"/>
      <c r="F837" s="89"/>
    </row>
    <row r="838" spans="5:6" ht="25.5" customHeight="1">
      <c r="E838" s="89"/>
      <c r="F838" s="89"/>
    </row>
    <row r="839" spans="5:6" ht="25.5" customHeight="1">
      <c r="E839" s="89"/>
      <c r="F839" s="89"/>
    </row>
    <row r="840" spans="5:6" ht="25.5" customHeight="1">
      <c r="E840" s="89"/>
      <c r="F840" s="89"/>
    </row>
    <row r="841" spans="5:6" ht="25.5" customHeight="1">
      <c r="E841" s="89"/>
      <c r="F841" s="89"/>
    </row>
    <row r="842" spans="5:6" ht="25.5" customHeight="1">
      <c r="E842" s="89"/>
      <c r="F842" s="89"/>
    </row>
    <row r="843" spans="5:6" ht="25.5" customHeight="1">
      <c r="E843" s="89"/>
      <c r="F843" s="89"/>
    </row>
    <row r="844" spans="5:6" ht="25.5" customHeight="1">
      <c r="E844" s="89"/>
      <c r="F844" s="89"/>
    </row>
    <row r="845" spans="5:6" ht="25.5" customHeight="1">
      <c r="E845" s="89"/>
      <c r="F845" s="89"/>
    </row>
    <row r="846" spans="5:6" ht="25.5" customHeight="1">
      <c r="E846" s="89"/>
      <c r="F846" s="89"/>
    </row>
    <row r="847" spans="5:6" ht="25.5" customHeight="1">
      <c r="E847" s="89"/>
      <c r="F847" s="89"/>
    </row>
    <row r="848" spans="5:6" ht="25.5" customHeight="1">
      <c r="E848" s="89"/>
      <c r="F848" s="89"/>
    </row>
    <row r="849" spans="5:6" ht="25.5" customHeight="1">
      <c r="E849" s="89"/>
      <c r="F849" s="89"/>
    </row>
    <row r="850" spans="5:6" ht="25.5" customHeight="1">
      <c r="E850" s="89"/>
      <c r="F850" s="89"/>
    </row>
    <row r="851" spans="5:6" ht="25.5" customHeight="1">
      <c r="E851" s="89"/>
      <c r="F851" s="89"/>
    </row>
    <row r="852" spans="5:6" ht="25.5" customHeight="1">
      <c r="E852" s="89"/>
      <c r="F852" s="89"/>
    </row>
    <row r="853" spans="5:6" ht="25.5" customHeight="1">
      <c r="E853" s="89"/>
      <c r="F853" s="89"/>
    </row>
    <row r="854" spans="5:6" ht="25.5" customHeight="1">
      <c r="E854" s="89"/>
      <c r="F854" s="89"/>
    </row>
    <row r="855" spans="5:6" ht="25.5" customHeight="1">
      <c r="E855" s="89"/>
      <c r="F855" s="89"/>
    </row>
    <row r="856" spans="5:6" ht="25.5" customHeight="1">
      <c r="E856" s="89"/>
      <c r="F856" s="89"/>
    </row>
    <row r="857" spans="5:6" ht="25.5" customHeight="1">
      <c r="E857" s="89"/>
      <c r="F857" s="89"/>
    </row>
    <row r="858" spans="5:6" ht="25.5" customHeight="1">
      <c r="E858" s="89"/>
      <c r="F858" s="89"/>
    </row>
    <row r="859" spans="5:6" ht="25.5" customHeight="1">
      <c r="E859" s="89"/>
      <c r="F859" s="89"/>
    </row>
    <row r="860" spans="5:6" ht="25.5" customHeight="1">
      <c r="E860" s="89"/>
      <c r="F860" s="89"/>
    </row>
    <row r="861" spans="5:6" ht="25.5" customHeight="1">
      <c r="E861" s="89"/>
      <c r="F861" s="89"/>
    </row>
    <row r="862" spans="5:6" ht="25.5" customHeight="1">
      <c r="E862" s="89"/>
      <c r="F862" s="89"/>
    </row>
    <row r="863" spans="5:6" ht="25.5" customHeight="1">
      <c r="E863" s="89"/>
      <c r="F863" s="89"/>
    </row>
    <row r="864" spans="5:6" ht="25.5" customHeight="1">
      <c r="E864" s="89"/>
      <c r="F864" s="89"/>
    </row>
    <row r="865" spans="5:6" ht="25.5" customHeight="1">
      <c r="E865" s="89"/>
      <c r="F865" s="89"/>
    </row>
    <row r="866" spans="5:6" ht="25.5" customHeight="1">
      <c r="E866" s="89"/>
      <c r="F866" s="89"/>
    </row>
    <row r="867" spans="5:6" ht="25.5" customHeight="1">
      <c r="E867" s="89"/>
      <c r="F867" s="89"/>
    </row>
    <row r="868" spans="5:6" ht="25.5" customHeight="1">
      <c r="E868" s="89"/>
      <c r="F868" s="89"/>
    </row>
    <row r="869" spans="5:6" ht="25.5" customHeight="1">
      <c r="E869" s="89"/>
      <c r="F869" s="89"/>
    </row>
    <row r="870" spans="5:6" ht="25.5" customHeight="1">
      <c r="E870" s="89"/>
      <c r="F870" s="89"/>
    </row>
    <row r="871" spans="5:6" ht="25.5" customHeight="1">
      <c r="E871" s="89"/>
      <c r="F871" s="89"/>
    </row>
    <row r="872" spans="5:6" ht="25.5" customHeight="1">
      <c r="E872" s="89"/>
      <c r="F872" s="89"/>
    </row>
    <row r="873" spans="5:6" ht="25.5" customHeight="1">
      <c r="E873" s="89"/>
      <c r="F873" s="89"/>
    </row>
    <row r="874" spans="5:6" ht="25.5" customHeight="1">
      <c r="E874" s="89"/>
      <c r="F874" s="89"/>
    </row>
    <row r="875" spans="5:6" ht="25.5" customHeight="1">
      <c r="E875" s="89"/>
      <c r="F875" s="89"/>
    </row>
    <row r="876" spans="5:6" ht="25.5" customHeight="1">
      <c r="E876" s="89"/>
      <c r="F876" s="89"/>
    </row>
    <row r="877" spans="5:6" ht="25.5" customHeight="1">
      <c r="E877" s="89"/>
      <c r="F877" s="89"/>
    </row>
    <row r="878" spans="5:6" ht="25.5" customHeight="1">
      <c r="E878" s="89"/>
      <c r="F878" s="89"/>
    </row>
    <row r="879" spans="5:6" ht="25.5" customHeight="1">
      <c r="E879" s="89"/>
      <c r="F879" s="89"/>
    </row>
    <row r="880" spans="5:6" ht="25.5" customHeight="1">
      <c r="E880" s="89"/>
      <c r="F880" s="89"/>
    </row>
    <row r="881" spans="5:6" ht="25.5" customHeight="1">
      <c r="E881" s="89"/>
      <c r="F881" s="89"/>
    </row>
    <row r="882" spans="5:6" ht="25.5" customHeight="1">
      <c r="E882" s="89"/>
      <c r="F882" s="89"/>
    </row>
    <row r="883" spans="5:6" ht="25.5" customHeight="1">
      <c r="E883" s="89"/>
      <c r="F883" s="89"/>
    </row>
    <row r="884" spans="5:6" ht="25.5" customHeight="1">
      <c r="E884" s="89"/>
      <c r="F884" s="89"/>
    </row>
    <row r="885" spans="5:6" ht="25.5" customHeight="1">
      <c r="E885" s="89"/>
      <c r="F885" s="89"/>
    </row>
    <row r="886" spans="5:6" ht="25.5" customHeight="1">
      <c r="E886" s="89"/>
      <c r="F886" s="89"/>
    </row>
    <row r="887" spans="5:6" ht="25.5" customHeight="1">
      <c r="E887" s="89"/>
      <c r="F887" s="89"/>
    </row>
    <row r="888" spans="5:6" ht="25.5" customHeight="1">
      <c r="E888" s="89"/>
      <c r="F888" s="89"/>
    </row>
    <row r="889" spans="5:6" ht="25.5" customHeight="1">
      <c r="E889" s="89"/>
      <c r="F889" s="89"/>
    </row>
    <row r="890" spans="5:6" ht="25.5" customHeight="1">
      <c r="E890" s="89"/>
      <c r="F890" s="89"/>
    </row>
    <row r="891" spans="5:6" ht="25.5" customHeight="1">
      <c r="E891" s="89"/>
      <c r="F891" s="89"/>
    </row>
    <row r="892" spans="5:6" ht="25.5" customHeight="1">
      <c r="E892" s="89"/>
      <c r="F892" s="89"/>
    </row>
    <row r="893" spans="5:6" ht="25.5" customHeight="1">
      <c r="E893" s="89"/>
      <c r="F893" s="89"/>
    </row>
    <row r="894" spans="5:6" ht="25.5" customHeight="1">
      <c r="E894" s="89"/>
      <c r="F894" s="89"/>
    </row>
    <row r="895" spans="5:6" ht="25.5" customHeight="1">
      <c r="E895" s="89"/>
      <c r="F895" s="89"/>
    </row>
    <row r="896" spans="5:6" ht="25.5" customHeight="1">
      <c r="E896" s="89"/>
      <c r="F896" s="89"/>
    </row>
    <row r="897" spans="5:6" ht="25.5" customHeight="1">
      <c r="E897" s="89"/>
      <c r="F897" s="89"/>
    </row>
    <row r="898" spans="5:6" ht="25.5" customHeight="1">
      <c r="E898" s="89"/>
      <c r="F898" s="89"/>
    </row>
    <row r="899" spans="5:6" ht="25.5" customHeight="1">
      <c r="E899" s="89"/>
      <c r="F899" s="89"/>
    </row>
    <row r="900" spans="5:6" ht="25.5" customHeight="1">
      <c r="E900" s="89"/>
      <c r="F900" s="89"/>
    </row>
    <row r="901" spans="5:6" ht="25.5" customHeight="1">
      <c r="E901" s="89"/>
      <c r="F901" s="89"/>
    </row>
    <row r="902" spans="5:6" ht="25.5" customHeight="1">
      <c r="E902" s="89"/>
      <c r="F902" s="89"/>
    </row>
    <row r="903" spans="5:6" ht="25.5" customHeight="1">
      <c r="E903" s="89"/>
      <c r="F903" s="89"/>
    </row>
    <row r="904" spans="5:6" ht="25.5" customHeight="1">
      <c r="E904" s="89"/>
      <c r="F904" s="89"/>
    </row>
    <row r="905" spans="5:6" ht="25.5" customHeight="1">
      <c r="E905" s="89"/>
      <c r="F905" s="89"/>
    </row>
    <row r="906" spans="5:6" ht="25.5" customHeight="1">
      <c r="E906" s="89"/>
      <c r="F906" s="89"/>
    </row>
    <row r="907" spans="5:6" ht="25.5" customHeight="1">
      <c r="E907" s="89"/>
      <c r="F907" s="89"/>
    </row>
    <row r="908" spans="5:6" ht="25.5" customHeight="1">
      <c r="E908" s="89"/>
      <c r="F908" s="89"/>
    </row>
    <row r="909" spans="5:6" ht="25.5" customHeight="1">
      <c r="E909" s="89"/>
      <c r="F909" s="89"/>
    </row>
    <row r="910" spans="5:6" ht="25.5" customHeight="1">
      <c r="E910" s="89"/>
      <c r="F910" s="89"/>
    </row>
    <row r="911" spans="5:6" ht="25.5" customHeight="1">
      <c r="E911" s="89"/>
      <c r="F911" s="89"/>
    </row>
    <row r="912" spans="5:6" ht="25.5" customHeight="1">
      <c r="E912" s="89"/>
      <c r="F912" s="89"/>
    </row>
    <row r="913" spans="5:6" ht="25.5" customHeight="1">
      <c r="E913" s="89"/>
      <c r="F913" s="89"/>
    </row>
    <row r="914" spans="5:6" ht="25.5" customHeight="1">
      <c r="E914" s="89"/>
      <c r="F914" s="89"/>
    </row>
    <row r="915" spans="5:6" ht="25.5" customHeight="1">
      <c r="E915" s="89"/>
      <c r="F915" s="89"/>
    </row>
    <row r="916" spans="5:6" ht="25.5" customHeight="1">
      <c r="E916" s="89"/>
      <c r="F916" s="89"/>
    </row>
    <row r="917" spans="5:6" ht="25.5" customHeight="1">
      <c r="E917" s="89"/>
      <c r="F917" s="89"/>
    </row>
    <row r="918" spans="5:6" ht="25.5" customHeight="1">
      <c r="E918" s="89"/>
      <c r="F918" s="89"/>
    </row>
    <row r="919" spans="5:6" ht="25.5" customHeight="1">
      <c r="E919" s="89"/>
      <c r="F919" s="89"/>
    </row>
    <row r="920" spans="5:6" ht="25.5" customHeight="1">
      <c r="E920" s="89"/>
      <c r="F920" s="89"/>
    </row>
    <row r="921" spans="5:6" ht="25.5" customHeight="1">
      <c r="E921" s="89"/>
      <c r="F921" s="89"/>
    </row>
    <row r="922" spans="5:6" ht="25.5" customHeight="1">
      <c r="E922" s="89"/>
      <c r="F922" s="89"/>
    </row>
    <row r="923" spans="5:6" ht="25.5" customHeight="1">
      <c r="E923" s="89"/>
      <c r="F923" s="89"/>
    </row>
    <row r="924" spans="5:6" ht="25.5" customHeight="1">
      <c r="E924" s="89"/>
      <c r="F924" s="89"/>
    </row>
    <row r="925" spans="5:6" ht="25.5" customHeight="1">
      <c r="E925" s="89"/>
      <c r="F925" s="89"/>
    </row>
    <row r="926" spans="5:6" ht="25.5" customHeight="1">
      <c r="E926" s="89"/>
      <c r="F926" s="89"/>
    </row>
    <row r="927" spans="5:6" ht="25.5" customHeight="1">
      <c r="E927" s="89"/>
      <c r="F927" s="89"/>
    </row>
    <row r="928" spans="5:6" ht="25.5" customHeight="1">
      <c r="E928" s="89"/>
      <c r="F928" s="89"/>
    </row>
    <row r="929" spans="5:6" ht="25.5" customHeight="1">
      <c r="E929" s="89"/>
      <c r="F929" s="89"/>
    </row>
    <row r="930" spans="5:6" ht="25.5" customHeight="1">
      <c r="E930" s="89"/>
      <c r="F930" s="89"/>
    </row>
    <row r="931" spans="5:6" ht="25.5" customHeight="1">
      <c r="E931" s="89"/>
      <c r="F931" s="89"/>
    </row>
    <row r="932" spans="5:6" ht="25.5" customHeight="1">
      <c r="E932" s="89"/>
      <c r="F932" s="89"/>
    </row>
    <row r="933" spans="5:6" ht="25.5" customHeight="1">
      <c r="E933" s="89"/>
      <c r="F933" s="89"/>
    </row>
    <row r="934" spans="5:6" ht="25.5" customHeight="1">
      <c r="E934" s="89"/>
      <c r="F934" s="89"/>
    </row>
    <row r="935" spans="5:6" ht="25.5" customHeight="1">
      <c r="E935" s="89"/>
      <c r="F935" s="89"/>
    </row>
    <row r="936" spans="5:6" ht="25.5" customHeight="1">
      <c r="E936" s="89"/>
      <c r="F936" s="89"/>
    </row>
    <row r="937" spans="5:6" ht="25.5" customHeight="1">
      <c r="E937" s="89"/>
      <c r="F937" s="89"/>
    </row>
    <row r="938" spans="5:6" ht="25.5" customHeight="1">
      <c r="E938" s="89"/>
      <c r="F938" s="89"/>
    </row>
    <row r="939" spans="5:6" ht="25.5" customHeight="1">
      <c r="E939" s="89"/>
      <c r="F939" s="89"/>
    </row>
    <row r="940" spans="5:6" ht="25.5" customHeight="1">
      <c r="E940" s="89"/>
      <c r="F940" s="89"/>
    </row>
    <row r="941" spans="5:6" ht="25.5" customHeight="1">
      <c r="E941" s="89"/>
      <c r="F941" s="89"/>
    </row>
    <row r="942" spans="5:6" ht="25.5" customHeight="1">
      <c r="E942" s="89"/>
      <c r="F942" s="89"/>
    </row>
    <row r="943" spans="5:6" ht="25.5" customHeight="1">
      <c r="E943" s="89"/>
      <c r="F943" s="89"/>
    </row>
    <row r="944" spans="5:6" ht="25.5" customHeight="1">
      <c r="E944" s="89"/>
      <c r="F944" s="89"/>
    </row>
    <row r="945" spans="5:6" ht="25.5" customHeight="1">
      <c r="E945" s="89"/>
      <c r="F945" s="89"/>
    </row>
    <row r="946" spans="5:6" ht="25.5" customHeight="1">
      <c r="E946" s="89"/>
      <c r="F946" s="89"/>
    </row>
    <row r="947" spans="5:6" ht="25.5" customHeight="1">
      <c r="E947" s="89"/>
      <c r="F947" s="89"/>
    </row>
    <row r="948" spans="5:6" ht="25.5" customHeight="1">
      <c r="E948" s="89"/>
      <c r="F948" s="89"/>
    </row>
    <row r="949" spans="5:6" ht="25.5" customHeight="1">
      <c r="E949" s="89"/>
      <c r="F949" s="89"/>
    </row>
    <row r="950" spans="5:6" ht="25.5" customHeight="1">
      <c r="E950" s="89"/>
      <c r="F950" s="89"/>
    </row>
    <row r="951" spans="5:6" ht="25.5" customHeight="1">
      <c r="E951" s="89"/>
      <c r="F951" s="89"/>
    </row>
    <row r="952" spans="5:6" ht="25.5" customHeight="1">
      <c r="E952" s="89"/>
      <c r="F952" s="89"/>
    </row>
    <row r="953" spans="5:6" ht="25.5" customHeight="1">
      <c r="E953" s="89"/>
      <c r="F953" s="89"/>
    </row>
    <row r="954" spans="5:6" ht="25.5" customHeight="1">
      <c r="E954" s="89"/>
      <c r="F954" s="89"/>
    </row>
    <row r="955" spans="5:6" ht="25.5" customHeight="1">
      <c r="E955" s="89"/>
      <c r="F955" s="89"/>
    </row>
    <row r="956" spans="5:6" ht="25.5" customHeight="1">
      <c r="E956" s="89"/>
      <c r="F956" s="89"/>
    </row>
    <row r="957" spans="5:6" ht="25.5" customHeight="1">
      <c r="E957" s="89"/>
      <c r="F957" s="89"/>
    </row>
    <row r="958" spans="5:6" ht="25.5" customHeight="1">
      <c r="E958" s="89"/>
      <c r="F958" s="89"/>
    </row>
    <row r="959" spans="5:6" ht="25.5" customHeight="1">
      <c r="E959" s="89"/>
      <c r="F959" s="89"/>
    </row>
    <row r="960" spans="5:6" ht="25.5" customHeight="1">
      <c r="E960" s="89"/>
      <c r="F960" s="89"/>
    </row>
    <row r="961" spans="5:6" ht="25.5" customHeight="1">
      <c r="E961" s="89"/>
      <c r="F961" s="89"/>
    </row>
    <row r="962" spans="5:6" ht="25.5" customHeight="1">
      <c r="E962" s="89"/>
      <c r="F962" s="89"/>
    </row>
    <row r="963" spans="5:6" ht="25.5" customHeight="1">
      <c r="E963" s="89"/>
      <c r="F963" s="89"/>
    </row>
    <row r="964" spans="5:6" ht="25.5" customHeight="1">
      <c r="E964" s="89"/>
      <c r="F964" s="89"/>
    </row>
    <row r="965" spans="5:6" ht="25.5" customHeight="1">
      <c r="E965" s="89"/>
      <c r="F965" s="89"/>
    </row>
    <row r="966" spans="5:6" ht="25.5" customHeight="1">
      <c r="E966" s="89"/>
      <c r="F966" s="89"/>
    </row>
    <row r="967" spans="5:6" ht="25.5" customHeight="1">
      <c r="E967" s="89"/>
      <c r="F967" s="89"/>
    </row>
    <row r="968" spans="5:6" ht="25.5" customHeight="1">
      <c r="E968" s="89"/>
      <c r="F968" s="89"/>
    </row>
    <row r="969" spans="5:6" ht="25.5" customHeight="1">
      <c r="E969" s="89"/>
      <c r="F969" s="89"/>
    </row>
    <row r="970" spans="5:6" ht="25.5" customHeight="1">
      <c r="E970" s="89"/>
      <c r="F970" s="89"/>
    </row>
    <row r="971" spans="5:6" ht="25.5" customHeight="1">
      <c r="E971" s="89"/>
      <c r="F971" s="89"/>
    </row>
    <row r="972" spans="5:6" ht="25.5" customHeight="1">
      <c r="E972" s="89"/>
      <c r="F972" s="89"/>
    </row>
    <row r="973" spans="5:6" ht="25.5" customHeight="1">
      <c r="E973" s="89"/>
      <c r="F973" s="89"/>
    </row>
    <row r="974" spans="5:6" ht="25.5" customHeight="1">
      <c r="E974" s="89"/>
      <c r="F974" s="89"/>
    </row>
    <row r="975" spans="5:6" ht="25.5" customHeight="1">
      <c r="E975" s="89"/>
      <c r="F975" s="89"/>
    </row>
    <row r="976" spans="5:6" ht="25.5" customHeight="1">
      <c r="E976" s="89"/>
      <c r="F976" s="89"/>
    </row>
    <row r="977" spans="5:6" ht="25.5" customHeight="1">
      <c r="E977" s="89"/>
      <c r="F977" s="89"/>
    </row>
    <row r="978" spans="5:6" ht="25.5" customHeight="1">
      <c r="E978" s="89"/>
      <c r="F978" s="89"/>
    </row>
    <row r="979" spans="5:6" ht="25.5" customHeight="1">
      <c r="E979" s="89"/>
      <c r="F979" s="89"/>
    </row>
    <row r="980" spans="5:6" ht="25.5" customHeight="1">
      <c r="E980" s="89"/>
      <c r="F980" s="89"/>
    </row>
    <row r="981" spans="5:6" ht="25.5" customHeight="1">
      <c r="E981" s="89"/>
      <c r="F981" s="89"/>
    </row>
    <row r="982" spans="5:6" ht="25.5" customHeight="1">
      <c r="E982" s="89"/>
      <c r="F982" s="89"/>
    </row>
    <row r="983" spans="5:6" ht="25.5" customHeight="1">
      <c r="E983" s="89"/>
      <c r="F983" s="89"/>
    </row>
    <row r="984" spans="5:6" ht="25.5" customHeight="1">
      <c r="E984" s="89"/>
      <c r="F984" s="89"/>
    </row>
    <row r="985" spans="5:6" ht="25.5" customHeight="1">
      <c r="E985" s="89"/>
      <c r="F985" s="89"/>
    </row>
    <row r="986" spans="5:6" ht="25.5" customHeight="1">
      <c r="E986" s="89"/>
      <c r="F986" s="89"/>
    </row>
    <row r="987" spans="5:6" ht="25.5" customHeight="1">
      <c r="E987" s="89"/>
      <c r="F987" s="89"/>
    </row>
    <row r="988" spans="5:6" ht="25.5" customHeight="1">
      <c r="E988" s="89"/>
      <c r="F988" s="89"/>
    </row>
    <row r="989" spans="5:6" ht="25.5" customHeight="1">
      <c r="E989" s="89"/>
      <c r="F989" s="89"/>
    </row>
    <row r="990" spans="5:6" ht="25.5" customHeight="1">
      <c r="E990" s="89"/>
      <c r="F990" s="89"/>
    </row>
    <row r="991" spans="5:6" ht="25.5" customHeight="1">
      <c r="E991" s="89"/>
      <c r="F991" s="89"/>
    </row>
    <row r="992" spans="5:6" ht="25.5" customHeight="1">
      <c r="E992" s="89"/>
      <c r="F992" s="89"/>
    </row>
    <row r="993" spans="5:6" ht="25.5" customHeight="1">
      <c r="E993" s="89"/>
      <c r="F993" s="89"/>
    </row>
    <row r="994" spans="5:6" ht="25.5" customHeight="1">
      <c r="E994" s="89"/>
      <c r="F994" s="89"/>
    </row>
    <row r="995" spans="5:6" ht="25.5" customHeight="1">
      <c r="E995" s="89"/>
      <c r="F995" s="89"/>
    </row>
    <row r="996" spans="5:6" ht="25.5" customHeight="1">
      <c r="E996" s="89"/>
      <c r="F996" s="89"/>
    </row>
    <row r="997" spans="5:6" ht="25.5" customHeight="1">
      <c r="E997" s="89"/>
      <c r="F997" s="89"/>
    </row>
    <row r="998" spans="5:6" ht="25.5" customHeight="1">
      <c r="E998" s="89"/>
      <c r="F998" s="89"/>
    </row>
    <row r="999" spans="5:6" ht="25.5" customHeight="1">
      <c r="E999" s="89"/>
      <c r="F999" s="89"/>
    </row>
    <row r="1000" spans="5:6" ht="25.5" customHeight="1">
      <c r="E1000" s="89"/>
      <c r="F1000" s="89"/>
    </row>
    <row r="1001" spans="5:6" ht="25.5" customHeight="1">
      <c r="E1001" s="89"/>
      <c r="F1001" s="89"/>
    </row>
    <row r="1002" spans="5:6" ht="25.5" customHeight="1">
      <c r="E1002" s="89"/>
      <c r="F1002" s="89"/>
    </row>
    <row r="1003" spans="5:6" ht="25.5" customHeight="1">
      <c r="E1003" s="89"/>
      <c r="F1003" s="89"/>
    </row>
    <row r="1004" spans="5:6" ht="25.5" customHeight="1">
      <c r="E1004" s="89"/>
      <c r="F1004" s="89"/>
    </row>
    <row r="1005" spans="5:6" ht="25.5" customHeight="1">
      <c r="E1005" s="89"/>
      <c r="F1005" s="89"/>
    </row>
    <row r="1006" spans="5:6" ht="25.5" customHeight="1">
      <c r="E1006" s="89"/>
      <c r="F1006" s="89"/>
    </row>
    <row r="1007" spans="5:6" ht="25.5" customHeight="1">
      <c r="E1007" s="89"/>
      <c r="F1007" s="89"/>
    </row>
    <row r="1008" spans="5:6" ht="25.5" customHeight="1">
      <c r="E1008" s="89"/>
      <c r="F1008" s="89"/>
    </row>
    <row r="1009" spans="5:6" ht="25.5" customHeight="1">
      <c r="E1009" s="89"/>
      <c r="F1009" s="89"/>
    </row>
    <row r="1010" spans="5:6" ht="25.5" customHeight="1">
      <c r="E1010" s="89"/>
      <c r="F1010" s="89"/>
    </row>
    <row r="1011" spans="5:6" ht="25.5" customHeight="1">
      <c r="E1011" s="89"/>
      <c r="F1011" s="89"/>
    </row>
    <row r="1012" spans="5:6" ht="25.5" customHeight="1">
      <c r="E1012" s="89"/>
      <c r="F1012" s="89"/>
    </row>
    <row r="1013" spans="5:6" ht="25.5" customHeight="1">
      <c r="E1013" s="89"/>
      <c r="F1013" s="89"/>
    </row>
    <row r="1014" spans="5:6" ht="25.5" customHeight="1">
      <c r="E1014" s="89"/>
      <c r="F1014" s="89"/>
    </row>
    <row r="1015" spans="5:6" ht="25.5" customHeight="1">
      <c r="E1015" s="89"/>
      <c r="F1015" s="89"/>
    </row>
    <row r="1016" spans="5:6" ht="25.5" customHeight="1">
      <c r="E1016" s="89"/>
      <c r="F1016" s="89"/>
    </row>
    <row r="1017" spans="5:6" ht="25.5" customHeight="1">
      <c r="E1017" s="89"/>
      <c r="F1017" s="89"/>
    </row>
    <row r="1018" spans="5:6" ht="25.5" customHeight="1">
      <c r="E1018" s="89"/>
      <c r="F1018" s="89"/>
    </row>
    <row r="1019" spans="5:6" ht="25.5" customHeight="1">
      <c r="E1019" s="89"/>
      <c r="F1019" s="89"/>
    </row>
    <row r="1020" spans="5:6" ht="25.5" customHeight="1">
      <c r="E1020" s="89"/>
      <c r="F1020" s="89"/>
    </row>
    <row r="1021" spans="5:6" ht="25.5" customHeight="1">
      <c r="E1021" s="89"/>
      <c r="F1021" s="89"/>
    </row>
    <row r="1022" spans="5:6" ht="25.5" customHeight="1">
      <c r="E1022" s="89"/>
      <c r="F1022" s="89"/>
    </row>
    <row r="1023" spans="5:6" ht="25.5" customHeight="1">
      <c r="E1023" s="89"/>
      <c r="F1023" s="89"/>
    </row>
    <row r="1024" spans="5:6" ht="25.5" customHeight="1">
      <c r="E1024" s="89"/>
      <c r="F1024" s="89"/>
    </row>
    <row r="1025" spans="5:6" ht="25.5" customHeight="1">
      <c r="E1025" s="89"/>
      <c r="F1025" s="89"/>
    </row>
    <row r="1026" spans="5:6" ht="25.5" customHeight="1">
      <c r="E1026" s="89"/>
      <c r="F1026" s="89"/>
    </row>
    <row r="1027" spans="5:6" ht="25.5" customHeight="1">
      <c r="E1027" s="89"/>
      <c r="F1027" s="89"/>
    </row>
    <row r="1028" spans="5:6" ht="25.5" customHeight="1">
      <c r="E1028" s="89"/>
      <c r="F1028" s="89"/>
    </row>
    <row r="1029" spans="5:6" ht="25.5" customHeight="1">
      <c r="E1029" s="89"/>
      <c r="F1029" s="89"/>
    </row>
    <row r="1030" spans="5:6" ht="25.5" customHeight="1">
      <c r="E1030" s="89"/>
      <c r="F1030" s="89"/>
    </row>
    <row r="1031" spans="5:6" ht="25.5" customHeight="1">
      <c r="E1031" s="89"/>
      <c r="F1031" s="89"/>
    </row>
    <row r="1032" spans="5:6" ht="25.5" customHeight="1">
      <c r="E1032" s="89"/>
      <c r="F1032" s="89"/>
    </row>
    <row r="1033" spans="5:6" ht="25.5" customHeight="1">
      <c r="E1033" s="89"/>
      <c r="F1033" s="89"/>
    </row>
    <row r="1034" spans="5:6" ht="25.5" customHeight="1">
      <c r="E1034" s="89"/>
      <c r="F1034" s="89"/>
    </row>
    <row r="1035" spans="5:6" ht="25.5" customHeight="1">
      <c r="E1035" s="89"/>
      <c r="F1035" s="89"/>
    </row>
    <row r="1036" spans="5:6" ht="25.5" customHeight="1">
      <c r="E1036" s="89"/>
      <c r="F1036" s="89"/>
    </row>
    <row r="1037" spans="5:6" ht="25.5" customHeight="1">
      <c r="E1037" s="89"/>
      <c r="F1037" s="89"/>
    </row>
    <row r="1038" spans="5:6" ht="25.5" customHeight="1">
      <c r="E1038" s="89"/>
      <c r="F1038" s="89"/>
    </row>
    <row r="1039" spans="5:6" ht="25.5" customHeight="1">
      <c r="E1039" s="89"/>
      <c r="F1039" s="89"/>
    </row>
    <row r="1040" spans="5:6" ht="25.5" customHeight="1">
      <c r="E1040" s="89"/>
      <c r="F1040" s="89"/>
    </row>
    <row r="1041" spans="5:6" ht="25.5" customHeight="1">
      <c r="E1041" s="89"/>
      <c r="F1041" s="89"/>
    </row>
    <row r="1042" spans="5:6" ht="25.5" customHeight="1">
      <c r="E1042" s="89"/>
      <c r="F1042" s="89"/>
    </row>
    <row r="1043" spans="5:6" ht="25.5" customHeight="1">
      <c r="E1043" s="89"/>
      <c r="F1043" s="89"/>
    </row>
    <row r="1044" spans="5:6" ht="25.5" customHeight="1">
      <c r="E1044" s="89"/>
      <c r="F1044" s="89"/>
    </row>
    <row r="1045" spans="5:6" ht="25.5" customHeight="1">
      <c r="E1045" s="89"/>
      <c r="F1045" s="89"/>
    </row>
    <row r="1046" spans="5:6" ht="25.5" customHeight="1">
      <c r="E1046" s="89"/>
      <c r="F1046" s="89"/>
    </row>
    <row r="1047" spans="5:6" ht="25.5" customHeight="1">
      <c r="E1047" s="89"/>
      <c r="F1047" s="89"/>
    </row>
    <row r="1048" spans="5:6" ht="25.5" customHeight="1">
      <c r="E1048" s="89"/>
      <c r="F1048" s="89"/>
    </row>
    <row r="1049" spans="5:6" ht="25.5" customHeight="1">
      <c r="E1049" s="89"/>
      <c r="F1049" s="89"/>
    </row>
    <row r="1050" spans="5:6" ht="25.5" customHeight="1">
      <c r="E1050" s="89"/>
      <c r="F1050" s="89"/>
    </row>
    <row r="1051" spans="5:6" ht="25.5" customHeight="1">
      <c r="E1051" s="89"/>
      <c r="F1051" s="89"/>
    </row>
    <row r="1052" spans="5:6" ht="25.5" customHeight="1">
      <c r="E1052" s="89"/>
      <c r="F1052" s="89"/>
    </row>
    <row r="1053" spans="5:6" ht="25.5" customHeight="1">
      <c r="E1053" s="89"/>
      <c r="F1053" s="89"/>
    </row>
    <row r="1054" spans="5:6" ht="25.5" customHeight="1">
      <c r="E1054" s="89"/>
      <c r="F1054" s="89"/>
    </row>
    <row r="1055" spans="5:6" ht="25.5" customHeight="1">
      <c r="E1055" s="89"/>
      <c r="F1055" s="89"/>
    </row>
    <row r="1056" spans="5:6" ht="25.5" customHeight="1">
      <c r="E1056" s="89"/>
      <c r="F1056" s="89"/>
    </row>
    <row r="1057" spans="5:6" ht="25.5" customHeight="1">
      <c r="E1057" s="89"/>
      <c r="F1057" s="89"/>
    </row>
    <row r="1058" spans="5:6" ht="25.5" customHeight="1">
      <c r="E1058" s="89"/>
      <c r="F1058" s="89"/>
    </row>
    <row r="1059" spans="5:6" ht="25.5" customHeight="1">
      <c r="E1059" s="89"/>
      <c r="F1059" s="89"/>
    </row>
    <row r="1060" spans="5:6" ht="25.5" customHeight="1">
      <c r="E1060" s="89"/>
      <c r="F1060" s="89"/>
    </row>
    <row r="1061" spans="5:6" ht="25.5" customHeight="1">
      <c r="E1061" s="89"/>
      <c r="F1061" s="89"/>
    </row>
    <row r="1062" spans="5:6" ht="25.5" customHeight="1">
      <c r="E1062" s="89"/>
      <c r="F1062" s="89"/>
    </row>
    <row r="1063" spans="5:6" ht="25.5" customHeight="1">
      <c r="E1063" s="89"/>
      <c r="F1063" s="89"/>
    </row>
    <row r="1064" spans="5:6" ht="25.5" customHeight="1">
      <c r="E1064" s="89"/>
      <c r="F1064" s="89"/>
    </row>
    <row r="1065" spans="5:6" ht="25.5" customHeight="1">
      <c r="E1065" s="89"/>
      <c r="F1065" s="89"/>
    </row>
    <row r="1066" spans="5:6" ht="25.5" customHeight="1">
      <c r="E1066" s="89"/>
      <c r="F1066" s="89"/>
    </row>
    <row r="1067" spans="5:6" ht="25.5" customHeight="1">
      <c r="E1067" s="89"/>
      <c r="F1067" s="89"/>
    </row>
    <row r="1068" spans="5:6" ht="25.5" customHeight="1">
      <c r="E1068" s="89"/>
      <c r="F1068" s="89"/>
    </row>
    <row r="1069" spans="5:6" ht="25.5" customHeight="1">
      <c r="E1069" s="89"/>
      <c r="F1069" s="89"/>
    </row>
    <row r="1070" spans="5:6" ht="25.5" customHeight="1">
      <c r="E1070" s="89"/>
      <c r="F1070" s="89"/>
    </row>
    <row r="1071" spans="5:6" ht="25.5" customHeight="1">
      <c r="E1071" s="89"/>
      <c r="F1071" s="89"/>
    </row>
    <row r="1072" spans="5:6" ht="25.5" customHeight="1">
      <c r="E1072" s="89"/>
      <c r="F1072" s="89"/>
    </row>
    <row r="1073" spans="5:6" ht="25.5" customHeight="1">
      <c r="E1073" s="89"/>
      <c r="F1073" s="89"/>
    </row>
    <row r="1074" spans="5:6" ht="25.5" customHeight="1">
      <c r="E1074" s="89"/>
      <c r="F1074" s="89"/>
    </row>
    <row r="1075" spans="5:6" ht="25.5" customHeight="1">
      <c r="E1075" s="89"/>
      <c r="F1075" s="89"/>
    </row>
    <row r="1076" spans="5:6" ht="25.5" customHeight="1">
      <c r="E1076" s="89"/>
      <c r="F1076" s="89"/>
    </row>
    <row r="1077" spans="5:6" ht="25.5" customHeight="1">
      <c r="E1077" s="89"/>
      <c r="F1077" s="89"/>
    </row>
    <row r="1078" spans="5:6" ht="25.5" customHeight="1">
      <c r="E1078" s="89"/>
      <c r="F1078" s="89"/>
    </row>
    <row r="1079" spans="5:6" ht="25.5" customHeight="1">
      <c r="E1079" s="89"/>
      <c r="F1079" s="89"/>
    </row>
    <row r="1080" spans="5:6" ht="25.5" customHeight="1">
      <c r="E1080" s="89"/>
      <c r="F1080" s="89"/>
    </row>
    <row r="1081" spans="5:6" ht="25.5" customHeight="1">
      <c r="E1081" s="89"/>
      <c r="F1081" s="89"/>
    </row>
    <row r="1082" spans="5:6" ht="25.5" customHeight="1">
      <c r="E1082" s="89"/>
      <c r="F1082" s="89"/>
    </row>
    <row r="1083" spans="5:6" ht="25.5" customHeight="1">
      <c r="E1083" s="89"/>
      <c r="F1083" s="89"/>
    </row>
    <row r="1084" spans="5:6" ht="25.5" customHeight="1">
      <c r="E1084" s="89"/>
      <c r="F1084" s="89"/>
    </row>
    <row r="1085" spans="5:6" ht="25.5" customHeight="1">
      <c r="E1085" s="89"/>
      <c r="F1085" s="89"/>
    </row>
    <row r="1086" spans="5:6" ht="25.5" customHeight="1">
      <c r="E1086" s="89"/>
      <c r="F1086" s="89"/>
    </row>
    <row r="1087" spans="5:6" ht="25.5" customHeight="1">
      <c r="E1087" s="89"/>
      <c r="F1087" s="89"/>
    </row>
    <row r="1088" spans="5:6" ht="25.5" customHeight="1">
      <c r="E1088" s="89"/>
      <c r="F1088" s="89"/>
    </row>
    <row r="1089" spans="5:6" ht="25.5" customHeight="1">
      <c r="E1089" s="89"/>
      <c r="F1089" s="89"/>
    </row>
    <row r="1090" spans="5:6" ht="25.5" customHeight="1">
      <c r="E1090" s="89"/>
      <c r="F1090" s="89"/>
    </row>
    <row r="1091" spans="5:6" ht="25.5" customHeight="1">
      <c r="E1091" s="89"/>
      <c r="F1091" s="89"/>
    </row>
    <row r="1092" spans="5:6" ht="25.5" customHeight="1">
      <c r="E1092" s="89"/>
      <c r="F1092" s="89"/>
    </row>
    <row r="1093" spans="5:6" ht="25.5" customHeight="1">
      <c r="E1093" s="89"/>
      <c r="F1093" s="89"/>
    </row>
    <row r="1094" spans="5:6" ht="25.5" customHeight="1">
      <c r="E1094" s="89"/>
      <c r="F1094" s="89"/>
    </row>
    <row r="1095" spans="5:6" ht="25.5" customHeight="1">
      <c r="E1095" s="89"/>
      <c r="F1095" s="89"/>
    </row>
    <row r="1096" spans="5:6" ht="25.5" customHeight="1">
      <c r="E1096" s="89"/>
      <c r="F1096" s="89"/>
    </row>
    <row r="1097" spans="5:6" ht="25.5" customHeight="1">
      <c r="E1097" s="89"/>
      <c r="F1097" s="89"/>
    </row>
    <row r="1098" spans="5:6" ht="25.5" customHeight="1">
      <c r="E1098" s="89"/>
      <c r="F1098" s="89"/>
    </row>
    <row r="1099" spans="5:6" ht="25.5" customHeight="1">
      <c r="E1099" s="89"/>
      <c r="F1099" s="89"/>
    </row>
    <row r="1100" spans="5:6" ht="25.5" customHeight="1">
      <c r="E1100" s="89"/>
      <c r="F1100" s="89"/>
    </row>
    <row r="1101" spans="5:6" ht="25.5" customHeight="1">
      <c r="E1101" s="89"/>
      <c r="F1101" s="89"/>
    </row>
    <row r="1102" spans="5:6" ht="25.5" customHeight="1">
      <c r="E1102" s="89"/>
      <c r="F1102" s="89"/>
    </row>
    <row r="1103" spans="5:6" ht="25.5" customHeight="1">
      <c r="E1103" s="89"/>
      <c r="F1103" s="89"/>
    </row>
    <row r="1104" spans="5:6" ht="25.5" customHeight="1">
      <c r="E1104" s="89"/>
      <c r="F1104" s="89"/>
    </row>
    <row r="1105" spans="5:6" ht="25.5" customHeight="1">
      <c r="E1105" s="89"/>
      <c r="F1105" s="89"/>
    </row>
    <row r="1106" spans="5:6" ht="25.5" customHeight="1">
      <c r="E1106" s="89"/>
      <c r="F1106" s="89"/>
    </row>
    <row r="1107" spans="5:6" ht="25.5" customHeight="1">
      <c r="E1107" s="89"/>
      <c r="F1107" s="89"/>
    </row>
    <row r="1108" spans="5:6" ht="25.5" customHeight="1">
      <c r="E1108" s="89"/>
      <c r="F1108" s="89"/>
    </row>
    <row r="1109" spans="5:6" ht="25.5" customHeight="1">
      <c r="E1109" s="89"/>
      <c r="F1109" s="89"/>
    </row>
    <row r="1110" spans="5:6" ht="25.5" customHeight="1">
      <c r="E1110" s="89"/>
      <c r="F1110" s="89"/>
    </row>
    <row r="1111" spans="5:6" ht="25.5" customHeight="1">
      <c r="E1111" s="89"/>
      <c r="F1111" s="89"/>
    </row>
    <row r="1112" spans="5:6" ht="25.5" customHeight="1">
      <c r="E1112" s="89"/>
      <c r="F1112" s="89"/>
    </row>
    <row r="1113" spans="5:6" ht="25.5" customHeight="1">
      <c r="E1113" s="89"/>
      <c r="F1113" s="89"/>
    </row>
    <row r="1114" spans="5:6" ht="25.5" customHeight="1">
      <c r="E1114" s="89"/>
      <c r="F1114" s="89"/>
    </row>
    <row r="1115" spans="5:6" ht="25.5" customHeight="1">
      <c r="E1115" s="89"/>
      <c r="F1115" s="89"/>
    </row>
    <row r="1116" spans="5:6" ht="25.5" customHeight="1">
      <c r="E1116" s="89"/>
      <c r="F1116" s="89"/>
    </row>
    <row r="1117" spans="5:6" ht="25.5" customHeight="1">
      <c r="E1117" s="89"/>
      <c r="F1117" s="89"/>
    </row>
    <row r="1118" spans="5:6" ht="25.5" customHeight="1">
      <c r="E1118" s="89"/>
      <c r="F1118" s="89"/>
    </row>
    <row r="1119" spans="5:6" ht="25.5" customHeight="1">
      <c r="E1119" s="89"/>
      <c r="F1119" s="89"/>
    </row>
    <row r="1120" spans="5:6" ht="25.5" customHeight="1">
      <c r="E1120" s="89"/>
      <c r="F1120" s="89"/>
    </row>
    <row r="1121" spans="5:6" ht="25.5" customHeight="1">
      <c r="E1121" s="89"/>
      <c r="F1121" s="89"/>
    </row>
    <row r="1122" spans="5:6" ht="25.5" customHeight="1">
      <c r="E1122" s="89"/>
      <c r="F1122" s="89"/>
    </row>
    <row r="1123" spans="5:6" ht="25.5" customHeight="1">
      <c r="E1123" s="89"/>
      <c r="F1123" s="89"/>
    </row>
    <row r="1124" spans="5:6" ht="25.5" customHeight="1">
      <c r="E1124" s="89"/>
      <c r="F1124" s="89"/>
    </row>
    <row r="1125" spans="5:6" ht="25.5" customHeight="1">
      <c r="E1125" s="89"/>
      <c r="F1125" s="89"/>
    </row>
    <row r="1126" spans="5:6" ht="25.5" customHeight="1">
      <c r="E1126" s="89"/>
      <c r="F1126" s="89"/>
    </row>
    <row r="1127" spans="5:6" ht="25.5" customHeight="1">
      <c r="E1127" s="89"/>
      <c r="F1127" s="89"/>
    </row>
    <row r="1128" spans="5:6" ht="25.5" customHeight="1">
      <c r="E1128" s="89"/>
      <c r="F1128" s="89"/>
    </row>
    <row r="1129" spans="5:6" ht="25.5" customHeight="1">
      <c r="E1129" s="89"/>
      <c r="F1129" s="89"/>
    </row>
    <row r="1130" spans="5:6" ht="25.5" customHeight="1">
      <c r="E1130" s="89"/>
      <c r="F1130" s="89"/>
    </row>
    <row r="1131" spans="5:6" ht="25.5" customHeight="1">
      <c r="E1131" s="89"/>
      <c r="F1131" s="89"/>
    </row>
    <row r="1132" spans="5:6" ht="25.5" customHeight="1">
      <c r="E1132" s="89"/>
      <c r="F1132" s="89"/>
    </row>
    <row r="1133" spans="5:6" ht="25.5" customHeight="1">
      <c r="E1133" s="89"/>
      <c r="F1133" s="89"/>
    </row>
    <row r="1134" spans="5:6" ht="25.5" customHeight="1">
      <c r="E1134" s="89"/>
      <c r="F1134" s="89"/>
    </row>
    <row r="1135" spans="5:6" ht="25.5" customHeight="1">
      <c r="E1135" s="89"/>
      <c r="F1135" s="89"/>
    </row>
    <row r="1136" spans="5:6" ht="25.5" customHeight="1">
      <c r="E1136" s="89"/>
      <c r="F1136" s="89"/>
    </row>
    <row r="1137" spans="5:6" ht="25.5" customHeight="1">
      <c r="E1137" s="89"/>
      <c r="F1137" s="89"/>
    </row>
    <row r="1138" spans="5:6" ht="25.5" customHeight="1">
      <c r="E1138" s="89"/>
      <c r="F1138" s="89"/>
    </row>
    <row r="1139" spans="5:6" ht="25.5" customHeight="1">
      <c r="E1139" s="89"/>
      <c r="F1139" s="89"/>
    </row>
    <row r="1140" spans="5:6" ht="25.5" customHeight="1">
      <c r="E1140" s="89"/>
      <c r="F1140" s="89"/>
    </row>
    <row r="1141" spans="5:6" ht="25.5" customHeight="1">
      <c r="E1141" s="89"/>
      <c r="F1141" s="89"/>
    </row>
    <row r="1142" spans="5:6" ht="25.5" customHeight="1">
      <c r="E1142" s="89"/>
      <c r="F1142" s="89"/>
    </row>
    <row r="1143" spans="5:6" ht="25.5" customHeight="1">
      <c r="E1143" s="89"/>
      <c r="F1143" s="89"/>
    </row>
    <row r="1144" spans="5:6" ht="25.5" customHeight="1">
      <c r="E1144" s="89"/>
      <c r="F1144" s="89"/>
    </row>
    <row r="1145" spans="5:6" ht="25.5" customHeight="1">
      <c r="E1145" s="89"/>
      <c r="F1145" s="89"/>
    </row>
    <row r="1146" spans="5:6" ht="25.5" customHeight="1">
      <c r="E1146" s="89"/>
      <c r="F1146" s="89"/>
    </row>
    <row r="1147" spans="5:6" ht="25.5" customHeight="1">
      <c r="E1147" s="89"/>
      <c r="F1147" s="89"/>
    </row>
    <row r="1148" spans="5:6" ht="25.5" customHeight="1">
      <c r="E1148" s="89"/>
      <c r="F1148" s="89"/>
    </row>
    <row r="1149" spans="5:6" ht="25.5" customHeight="1">
      <c r="E1149" s="89"/>
      <c r="F1149" s="89"/>
    </row>
    <row r="1150" spans="5:6" ht="25.5" customHeight="1">
      <c r="E1150" s="89"/>
      <c r="F1150" s="89"/>
    </row>
    <row r="1151" spans="5:6" ht="25.5" customHeight="1">
      <c r="E1151" s="89"/>
      <c r="F1151" s="89"/>
    </row>
    <row r="1152" spans="5:6" ht="25.5" customHeight="1">
      <c r="E1152" s="89"/>
      <c r="F1152" s="89"/>
    </row>
    <row r="1153" spans="5:6" ht="25.5" customHeight="1">
      <c r="E1153" s="89"/>
      <c r="F1153" s="89"/>
    </row>
    <row r="1154" spans="5:6" ht="25.5" customHeight="1">
      <c r="E1154" s="89"/>
      <c r="F1154" s="89"/>
    </row>
    <row r="1155" spans="5:6" ht="25.5" customHeight="1">
      <c r="E1155" s="89"/>
      <c r="F1155" s="89"/>
    </row>
    <row r="1156" spans="5:6" ht="25.5" customHeight="1">
      <c r="E1156" s="89"/>
      <c r="F1156" s="89"/>
    </row>
    <row r="1157" spans="5:6" ht="25.5" customHeight="1">
      <c r="E1157" s="89"/>
      <c r="F1157" s="89"/>
    </row>
    <row r="1158" spans="5:6" ht="25.5" customHeight="1">
      <c r="E1158" s="89"/>
      <c r="F1158" s="89"/>
    </row>
    <row r="1159" spans="5:6" ht="25.5" customHeight="1">
      <c r="E1159" s="89"/>
      <c r="F1159" s="89"/>
    </row>
    <row r="1160" spans="5:6" ht="25.5" customHeight="1">
      <c r="E1160" s="89"/>
      <c r="F1160" s="89"/>
    </row>
    <row r="1161" spans="5:6" ht="25.5" customHeight="1">
      <c r="E1161" s="89"/>
      <c r="F1161" s="89"/>
    </row>
  </sheetData>
  <sheetProtection algorithmName="SHA-512" hashValue="dW11krNcjtdpbt4n0GUKB/7MFUqRd5IzAZW+mUJ+Lb63rT+D48Aqg6Q8OzMb54Uv0h95sAkAbGP3SibIj1l2Xg==" saltValue="ZUus9vL1CB1/IKODEbxDvw==" spinCount="100000" sheet="1" objects="1" scenarios="1"/>
  <mergeCells count="229">
    <mergeCell ref="V104:V105"/>
    <mergeCell ref="U42:U43"/>
    <mergeCell ref="U104:U105"/>
    <mergeCell ref="U109:U110"/>
    <mergeCell ref="N37:N38"/>
    <mergeCell ref="O37:O38"/>
    <mergeCell ref="S109:S110"/>
    <mergeCell ref="O104:O105"/>
    <mergeCell ref="N104:N105"/>
    <mergeCell ref="S75:S76"/>
    <mergeCell ref="S71:S72"/>
    <mergeCell ref="T71:T72"/>
    <mergeCell ref="S37:S38"/>
    <mergeCell ref="R37:R38"/>
    <mergeCell ref="P37:P38"/>
    <mergeCell ref="P48:P49"/>
    <mergeCell ref="P75:P76"/>
    <mergeCell ref="T66:T67"/>
    <mergeCell ref="R42:R43"/>
    <mergeCell ref="Q37:Q38"/>
    <mergeCell ref="B37:B38"/>
    <mergeCell ref="C37:C38"/>
    <mergeCell ref="A37:A38"/>
    <mergeCell ref="C42:C43"/>
    <mergeCell ref="B42:B43"/>
    <mergeCell ref="A66:A67"/>
    <mergeCell ref="B66:B67"/>
    <mergeCell ref="C66:C67"/>
    <mergeCell ref="A24:A29"/>
    <mergeCell ref="B24:B29"/>
    <mergeCell ref="C24:C29"/>
    <mergeCell ref="B48:B49"/>
    <mergeCell ref="A53:A54"/>
    <mergeCell ref="B53:B54"/>
    <mergeCell ref="C53:C54"/>
    <mergeCell ref="B57:B58"/>
    <mergeCell ref="C57:C58"/>
    <mergeCell ref="A48:A49"/>
    <mergeCell ref="A42:A43"/>
    <mergeCell ref="B93:B94"/>
    <mergeCell ref="C93:C94"/>
    <mergeCell ref="A99:A100"/>
    <mergeCell ref="B62:B64"/>
    <mergeCell ref="A81:A84"/>
    <mergeCell ref="B81:B84"/>
    <mergeCell ref="C81:C84"/>
    <mergeCell ref="A75:A76"/>
    <mergeCell ref="B75:B76"/>
    <mergeCell ref="C75:C76"/>
    <mergeCell ref="B69:B70"/>
    <mergeCell ref="A89:A90"/>
    <mergeCell ref="A71:A72"/>
    <mergeCell ref="B71:B72"/>
    <mergeCell ref="C71:C72"/>
    <mergeCell ref="C62:C64"/>
    <mergeCell ref="A62:A64"/>
    <mergeCell ref="R1:V1"/>
    <mergeCell ref="C14:C15"/>
    <mergeCell ref="D14:D15"/>
    <mergeCell ref="E14:E15"/>
    <mergeCell ref="F14:F15"/>
    <mergeCell ref="G14:G15"/>
    <mergeCell ref="K14:K15"/>
    <mergeCell ref="L14:L15"/>
    <mergeCell ref="O14:O15"/>
    <mergeCell ref="P14:P15"/>
    <mergeCell ref="Q14:Q15"/>
    <mergeCell ref="V14:V15"/>
    <mergeCell ref="N14:N15"/>
    <mergeCell ref="A2:V2"/>
    <mergeCell ref="A14:A15"/>
    <mergeCell ref="B14:B15"/>
    <mergeCell ref="A1:O1"/>
    <mergeCell ref="B5:V5"/>
    <mergeCell ref="B6:V6"/>
    <mergeCell ref="I14:I15"/>
    <mergeCell ref="J14:J15"/>
    <mergeCell ref="M14:M15"/>
    <mergeCell ref="R14:U14"/>
    <mergeCell ref="A109:A110"/>
    <mergeCell ref="B125:D125"/>
    <mergeCell ref="B126:D126"/>
    <mergeCell ref="B118:D118"/>
    <mergeCell ref="B124:D124"/>
    <mergeCell ref="N114:V114"/>
    <mergeCell ref="T89:T90"/>
    <mergeCell ref="A104:A105"/>
    <mergeCell ref="B104:B105"/>
    <mergeCell ref="C104:C105"/>
    <mergeCell ref="B121:D121"/>
    <mergeCell ref="B122:D122"/>
    <mergeCell ref="B123:D123"/>
    <mergeCell ref="B89:B90"/>
    <mergeCell ref="C89:C90"/>
    <mergeCell ref="P99:P100"/>
    <mergeCell ref="A115:A126"/>
    <mergeCell ref="B117:D117"/>
    <mergeCell ref="B120:D120"/>
    <mergeCell ref="B119:D119"/>
    <mergeCell ref="A114:D114"/>
    <mergeCell ref="B115:D115"/>
    <mergeCell ref="B116:D116"/>
    <mergeCell ref="A93:A94"/>
    <mergeCell ref="Q17:Q23"/>
    <mergeCell ref="R17:R23"/>
    <mergeCell ref="S17:S23"/>
    <mergeCell ref="N71:N72"/>
    <mergeCell ref="N75:N76"/>
    <mergeCell ref="N81:N84"/>
    <mergeCell ref="N89:N90"/>
    <mergeCell ref="Q99:Q100"/>
    <mergeCell ref="R99:R100"/>
    <mergeCell ref="S99:S100"/>
    <mergeCell ref="S89:S90"/>
    <mergeCell ref="O89:O90"/>
    <mergeCell ref="P89:P90"/>
    <mergeCell ref="Q89:Q90"/>
    <mergeCell ref="R89:R90"/>
    <mergeCell ref="O93:O94"/>
    <mergeCell ref="O99:O100"/>
    <mergeCell ref="N99:N100"/>
    <mergeCell ref="N93:N94"/>
    <mergeCell ref="P66:P67"/>
    <mergeCell ref="Q66:Q67"/>
    <mergeCell ref="R66:R67"/>
    <mergeCell ref="S66:S67"/>
    <mergeCell ref="O24:V36"/>
    <mergeCell ref="V17:V23"/>
    <mergeCell ref="V37:V38"/>
    <mergeCell ref="Q75:Q76"/>
    <mergeCell ref="R75:R76"/>
    <mergeCell ref="A10:E10"/>
    <mergeCell ref="H14:H15"/>
    <mergeCell ref="A11:V11"/>
    <mergeCell ref="N17:N23"/>
    <mergeCell ref="C17:C23"/>
    <mergeCell ref="O17:O23"/>
    <mergeCell ref="C48:C49"/>
    <mergeCell ref="A57:A58"/>
    <mergeCell ref="B30:B36"/>
    <mergeCell ref="C30:C36"/>
    <mergeCell ref="A30:A36"/>
    <mergeCell ref="B17:B23"/>
    <mergeCell ref="A17:A23"/>
    <mergeCell ref="P57:P58"/>
    <mergeCell ref="P71:P72"/>
    <mergeCell ref="R62:R64"/>
    <mergeCell ref="Q71:Q72"/>
    <mergeCell ref="R71:R72"/>
    <mergeCell ref="T17:T23"/>
    <mergeCell ref="P17:P23"/>
    <mergeCell ref="U17:U23"/>
    <mergeCell ref="P93:P94"/>
    <mergeCell ref="Q93:Q94"/>
    <mergeCell ref="R93:R94"/>
    <mergeCell ref="S93:S94"/>
    <mergeCell ref="T93:T94"/>
    <mergeCell ref="V93:V94"/>
    <mergeCell ref="B109:B110"/>
    <mergeCell ref="C109:C110"/>
    <mergeCell ref="O109:O110"/>
    <mergeCell ref="T99:T100"/>
    <mergeCell ref="P104:P105"/>
    <mergeCell ref="Q104:Q105"/>
    <mergeCell ref="R104:R105"/>
    <mergeCell ref="S104:S105"/>
    <mergeCell ref="T104:T105"/>
    <mergeCell ref="T109:T110"/>
    <mergeCell ref="V109:V110"/>
    <mergeCell ref="B99:B100"/>
    <mergeCell ref="C99:C100"/>
    <mergeCell ref="N109:N110"/>
    <mergeCell ref="P109:P110"/>
    <mergeCell ref="Q109:Q110"/>
    <mergeCell ref="R109:R110"/>
    <mergeCell ref="V99:V100"/>
    <mergeCell ref="T75:T76"/>
    <mergeCell ref="V75:V76"/>
    <mergeCell ref="V62:V64"/>
    <mergeCell ref="V66:V67"/>
    <mergeCell ref="V42:V43"/>
    <mergeCell ref="V48:V58"/>
    <mergeCell ref="V89:V90"/>
    <mergeCell ref="V81:V84"/>
    <mergeCell ref="V71:V72"/>
    <mergeCell ref="U81:U84"/>
    <mergeCell ref="U48:U58"/>
    <mergeCell ref="U71:U72"/>
    <mergeCell ref="U66:U67"/>
    <mergeCell ref="U75:U76"/>
    <mergeCell ref="U62:U64"/>
    <mergeCell ref="U89:U90"/>
    <mergeCell ref="U93:U94"/>
    <mergeCell ref="U99:U100"/>
    <mergeCell ref="S81:S84"/>
    <mergeCell ref="T37:T38"/>
    <mergeCell ref="O81:O84"/>
    <mergeCell ref="P81:P84"/>
    <mergeCell ref="Q81:Q84"/>
    <mergeCell ref="R81:R84"/>
    <mergeCell ref="O71:O72"/>
    <mergeCell ref="O75:O76"/>
    <mergeCell ref="O53:O54"/>
    <mergeCell ref="O57:O58"/>
    <mergeCell ref="O62:O64"/>
    <mergeCell ref="O66:O67"/>
    <mergeCell ref="T81:T84"/>
    <mergeCell ref="U37:U38"/>
    <mergeCell ref="N62:N64"/>
    <mergeCell ref="N66:N67"/>
    <mergeCell ref="S48:S58"/>
    <mergeCell ref="T48:T58"/>
    <mergeCell ref="P42:P43"/>
    <mergeCell ref="N42:N43"/>
    <mergeCell ref="N48:N49"/>
    <mergeCell ref="N53:N54"/>
    <mergeCell ref="P62:P64"/>
    <mergeCell ref="Q62:Q64"/>
    <mergeCell ref="S62:S64"/>
    <mergeCell ref="T62:T64"/>
    <mergeCell ref="S42:S43"/>
    <mergeCell ref="T42:T43"/>
    <mergeCell ref="P53:P54"/>
    <mergeCell ref="O48:O49"/>
    <mergeCell ref="O42:O43"/>
    <mergeCell ref="Q48:Q58"/>
    <mergeCell ref="R48:R58"/>
    <mergeCell ref="Q42:Q43"/>
    <mergeCell ref="N57:N58"/>
  </mergeCells>
  <conditionalFormatting sqref="G15 O14 E14:G14 H14:H15 K14:L15 N14:N15">
    <cfRule type="dataBar" priority="6">
      <dataBar>
        <cfvo type="min"/>
        <cfvo type="max"/>
        <color rgb="FF638EC6"/>
      </dataBar>
      <extLst>
        <ext xmlns:x14="http://schemas.microsoft.com/office/spreadsheetml/2009/9/main" uri="{B025F937-C7B1-47D3-B67F-A62EFF666E3E}">
          <x14:id>{DCAEF408-BB30-4A7E-A0B6-147271EF3562}</x14:id>
        </ext>
      </extLst>
    </cfRule>
  </conditionalFormatting>
  <conditionalFormatting sqref="I14:J14">
    <cfRule type="dataBar" priority="4">
      <dataBar>
        <cfvo type="min"/>
        <cfvo type="max"/>
        <color rgb="FF638EC6"/>
      </dataBar>
      <extLst>
        <ext xmlns:x14="http://schemas.microsoft.com/office/spreadsheetml/2009/9/main" uri="{B025F937-C7B1-47D3-B67F-A62EFF666E3E}">
          <x14:id>{78C60D25-CA6D-4CE1-A38C-4657B52FCD7F}</x14:id>
        </ext>
      </extLst>
    </cfRule>
  </conditionalFormatting>
  <conditionalFormatting sqref="J15">
    <cfRule type="dataBar" priority="3">
      <dataBar>
        <cfvo type="min"/>
        <cfvo type="max"/>
        <color rgb="FF638EC6"/>
      </dataBar>
      <extLst>
        <ext xmlns:x14="http://schemas.microsoft.com/office/spreadsheetml/2009/9/main" uri="{B025F937-C7B1-47D3-B67F-A62EFF666E3E}">
          <x14:id>{460F3594-1CF1-4077-9B40-7108C75A1C24}</x14:id>
        </ext>
      </extLst>
    </cfRule>
  </conditionalFormatting>
  <conditionalFormatting sqref="M14">
    <cfRule type="dataBar" priority="2">
      <dataBar>
        <cfvo type="min"/>
        <cfvo type="max"/>
        <color rgb="FF638EC6"/>
      </dataBar>
      <extLst>
        <ext xmlns:x14="http://schemas.microsoft.com/office/spreadsheetml/2009/9/main" uri="{B025F937-C7B1-47D3-B67F-A62EFF666E3E}">
          <x14:id>{4EDB3E86-8379-4449-9152-79212D10B2E4}</x14:id>
        </ext>
      </extLst>
    </cfRule>
  </conditionalFormatting>
  <conditionalFormatting sqref="M15">
    <cfRule type="dataBar" priority="1">
      <dataBar>
        <cfvo type="min"/>
        <cfvo type="max"/>
        <color rgb="FF638EC6"/>
      </dataBar>
      <extLst>
        <ext xmlns:x14="http://schemas.microsoft.com/office/spreadsheetml/2009/9/main" uri="{B025F937-C7B1-47D3-B67F-A62EFF666E3E}">
          <x14:id>{9EDC964F-6CD1-4F3E-9BDA-BEE16988973F}</x14:id>
        </ext>
      </extLst>
    </cfRule>
  </conditionalFormatting>
  <pageMargins left="0.7" right="0.7" top="0.75" bottom="0.75" header="0.3" footer="0.3"/>
  <pageSetup paperSize="8" scale="66" fitToWidth="0" fitToHeight="0" orientation="landscape" r:id="rId1"/>
  <extLst>
    <ext xmlns:x14="http://schemas.microsoft.com/office/spreadsheetml/2009/9/main" uri="{78C0D931-6437-407d-A8EE-F0AAD7539E65}">
      <x14:conditionalFormattings>
        <x14:conditionalFormatting xmlns:xm="http://schemas.microsoft.com/office/excel/2006/main">
          <x14:cfRule type="dataBar" id="{DCAEF408-BB30-4A7E-A0B6-147271EF3562}">
            <x14:dataBar minLength="0" maxLength="100" border="1" negativeBarBorderColorSameAsPositive="0">
              <x14:cfvo type="autoMin"/>
              <x14:cfvo type="autoMax"/>
              <x14:borderColor rgb="FF638EC6"/>
              <x14:negativeFillColor rgb="FFFF0000"/>
              <x14:negativeBorderColor rgb="FFFF0000"/>
              <x14:axisColor rgb="FF000000"/>
            </x14:dataBar>
          </x14:cfRule>
          <xm:sqref>G15 O14 E14:G14 H14:H15 K14:L15 N14:N15</xm:sqref>
        </x14:conditionalFormatting>
        <x14:conditionalFormatting xmlns:xm="http://schemas.microsoft.com/office/excel/2006/main">
          <x14:cfRule type="dataBar" id="{78C60D25-CA6D-4CE1-A38C-4657B52FCD7F}">
            <x14:dataBar minLength="0" maxLength="100" border="1" negativeBarBorderColorSameAsPositive="0">
              <x14:cfvo type="autoMin"/>
              <x14:cfvo type="autoMax"/>
              <x14:borderColor rgb="FF638EC6"/>
              <x14:negativeFillColor rgb="FFFF0000"/>
              <x14:negativeBorderColor rgb="FFFF0000"/>
              <x14:axisColor rgb="FF000000"/>
            </x14:dataBar>
          </x14:cfRule>
          <xm:sqref>I14:J14</xm:sqref>
        </x14:conditionalFormatting>
        <x14:conditionalFormatting xmlns:xm="http://schemas.microsoft.com/office/excel/2006/main">
          <x14:cfRule type="dataBar" id="{460F3594-1CF1-4077-9B40-7108C75A1C24}">
            <x14:dataBar minLength="0" maxLength="100" border="1" negativeBarBorderColorSameAsPositive="0">
              <x14:cfvo type="autoMin"/>
              <x14:cfvo type="autoMax"/>
              <x14:borderColor rgb="FF638EC6"/>
              <x14:negativeFillColor rgb="FFFF0000"/>
              <x14:negativeBorderColor rgb="FFFF0000"/>
              <x14:axisColor rgb="FF000000"/>
            </x14:dataBar>
          </x14:cfRule>
          <xm:sqref>J15</xm:sqref>
        </x14:conditionalFormatting>
        <x14:conditionalFormatting xmlns:xm="http://schemas.microsoft.com/office/excel/2006/main">
          <x14:cfRule type="dataBar" id="{4EDB3E86-8379-4449-9152-79212D10B2E4}">
            <x14:dataBar minLength="0" maxLength="100" border="1" negativeBarBorderColorSameAsPositive="0">
              <x14:cfvo type="autoMin"/>
              <x14:cfvo type="autoMax"/>
              <x14:borderColor rgb="FF638EC6"/>
              <x14:negativeFillColor rgb="FFFF0000"/>
              <x14:negativeBorderColor rgb="FFFF0000"/>
              <x14:axisColor rgb="FF000000"/>
            </x14:dataBar>
          </x14:cfRule>
          <xm:sqref>M14</xm:sqref>
        </x14:conditionalFormatting>
        <x14:conditionalFormatting xmlns:xm="http://schemas.microsoft.com/office/excel/2006/main">
          <x14:cfRule type="dataBar" id="{9EDC964F-6CD1-4F3E-9BDA-BEE16988973F}">
            <x14:dataBar minLength="0" maxLength="100" border="1" negativeBarBorderColorSameAsPositive="0">
              <x14:cfvo type="autoMin"/>
              <x14:cfvo type="autoMax"/>
              <x14:borderColor rgb="FF638EC6"/>
              <x14:negativeFillColor rgb="FFFF0000"/>
              <x14:negativeBorderColor rgb="FFFF0000"/>
              <x14:axisColor rgb="FF000000"/>
            </x14:dataBar>
          </x14:cfRule>
          <xm:sqref>M15</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38682-C9BD-44D7-AD09-D6667D127E7E}">
  <dimension ref="A1:AV1122"/>
  <sheetViews>
    <sheetView topLeftCell="A2" zoomScale="93" zoomScaleNormal="93" zoomScaleSheetLayoutView="112" workbookViewId="0">
      <selection activeCell="P21" sqref="P21:P24"/>
    </sheetView>
  </sheetViews>
  <sheetFormatPr defaultColWidth="9.140625" defaultRowHeight="39.75" customHeight="1"/>
  <cols>
    <col min="1" max="1" width="14.85546875" style="84" customWidth="1"/>
    <col min="2" max="2" width="35.42578125" style="84" customWidth="1"/>
    <col min="3" max="3" width="6.28515625" style="84" customWidth="1"/>
    <col min="4" max="4" width="7.5703125" style="84" customWidth="1"/>
    <col min="5" max="6" width="10.7109375" style="86" hidden="1" customWidth="1"/>
    <col min="7" max="7" width="10.7109375" style="84" hidden="1" customWidth="1"/>
    <col min="8" max="9" width="15.5703125" style="84" hidden="1" customWidth="1"/>
    <col min="10" max="10" width="15.5703125" style="91" hidden="1" customWidth="1"/>
    <col min="11" max="11" width="15.140625" style="84" customWidth="1"/>
    <col min="12" max="12" width="15.28515625" style="84" customWidth="1"/>
    <col min="13" max="13" width="15.5703125" style="84" customWidth="1"/>
    <col min="14" max="14" width="12.140625" style="206" customWidth="1"/>
    <col min="15" max="15" width="61" style="84" customWidth="1"/>
    <col min="16" max="16" width="13.7109375" style="84" customWidth="1"/>
    <col min="17" max="17" width="30.5703125" style="84" customWidth="1"/>
    <col min="18" max="18" width="6.28515625" style="206" hidden="1" customWidth="1"/>
    <col min="19" max="21" width="6.28515625" style="206" customWidth="1"/>
    <col min="22" max="22" width="29.42578125" style="84" customWidth="1"/>
    <col min="23" max="24" width="0" style="84" hidden="1" customWidth="1"/>
    <col min="25" max="25" width="8.85546875" hidden="1" customWidth="1"/>
    <col min="26" max="26" width="23.5703125" customWidth="1"/>
    <col min="27" max="16384" width="9.140625" style="84"/>
  </cols>
  <sheetData>
    <row r="1" spans="1:26" ht="39.75" hidden="1" customHeight="1">
      <c r="A1" s="2821" t="s">
        <v>2264</v>
      </c>
      <c r="B1" s="2821"/>
      <c r="C1" s="2821"/>
      <c r="D1" s="2821"/>
      <c r="E1" s="2821"/>
      <c r="F1" s="2821"/>
      <c r="G1" s="2821"/>
      <c r="H1" s="2821"/>
      <c r="I1" s="2821"/>
      <c r="J1" s="2821"/>
      <c r="K1" s="2821"/>
      <c r="L1" s="2821"/>
      <c r="M1" s="2821"/>
      <c r="N1" s="2821"/>
      <c r="O1" s="2822"/>
      <c r="P1" s="117"/>
      <c r="Q1" s="117"/>
      <c r="R1" s="85">
        <v>2024</v>
      </c>
      <c r="S1" s="85">
        <v>2025</v>
      </c>
      <c r="T1" s="85">
        <v>2026</v>
      </c>
      <c r="U1" s="451"/>
      <c r="V1" s="117"/>
      <c r="Y1" s="84"/>
      <c r="Z1" s="84"/>
    </row>
    <row r="2" spans="1:26" ht="22.5" customHeight="1">
      <c r="A2" s="2821" t="s">
        <v>2264</v>
      </c>
      <c r="B2" s="2821"/>
      <c r="C2" s="2821"/>
      <c r="D2" s="2821"/>
      <c r="E2" s="2821"/>
      <c r="F2" s="2821"/>
      <c r="G2" s="2821"/>
      <c r="H2" s="2821"/>
      <c r="I2" s="2821"/>
      <c r="J2" s="2821"/>
      <c r="K2" s="2821"/>
      <c r="L2" s="2821"/>
      <c r="M2" s="2821"/>
      <c r="N2" s="2821"/>
      <c r="O2" s="2821"/>
      <c r="R2" s="2821"/>
      <c r="S2" s="2821"/>
      <c r="T2" s="2821"/>
      <c r="U2" s="2821"/>
      <c r="V2" s="2821"/>
      <c r="Y2" s="84"/>
      <c r="Z2" s="84"/>
    </row>
    <row r="3" spans="1:26" ht="32.25" customHeight="1">
      <c r="A3" s="2828" t="s">
        <v>2863</v>
      </c>
      <c r="B3" s="2828"/>
      <c r="C3" s="2828"/>
      <c r="D3" s="2828"/>
      <c r="E3" s="2828"/>
      <c r="F3" s="2828"/>
      <c r="G3" s="2828"/>
      <c r="H3" s="2828"/>
      <c r="I3" s="2828"/>
      <c r="J3" s="2828"/>
      <c r="K3" s="2828"/>
      <c r="L3" s="2828"/>
      <c r="M3" s="2828"/>
      <c r="N3" s="2828"/>
      <c r="O3" s="2828"/>
      <c r="P3" s="2828"/>
      <c r="Q3" s="2828"/>
      <c r="R3" s="2828"/>
      <c r="S3" s="2828"/>
      <c r="T3" s="2828"/>
      <c r="U3" s="2828"/>
      <c r="V3" s="2828"/>
      <c r="Y3" s="84"/>
      <c r="Z3" s="84"/>
    </row>
    <row r="4" spans="1:26" s="89" customFormat="1" ht="13.5" customHeight="1">
      <c r="A4" s="121"/>
      <c r="B4" s="121"/>
      <c r="C4" s="87"/>
      <c r="D4" s="87"/>
      <c r="E4" s="87"/>
      <c r="F4" s="87"/>
      <c r="H4" s="87"/>
      <c r="I4" s="87"/>
      <c r="J4" s="460"/>
      <c r="N4" s="208"/>
      <c r="R4" s="208"/>
      <c r="S4" s="208"/>
      <c r="T4" s="208"/>
      <c r="U4" s="208"/>
    </row>
    <row r="5" spans="1:26" s="89" customFormat="1" ht="20.25" customHeight="1">
      <c r="A5" s="89" t="str">
        <f>A17</f>
        <v>05.01.01. (T)</v>
      </c>
      <c r="B5" s="89" t="str">
        <f>B17</f>
        <v>Skatinti vietos bendruomenių iniciatyvas</v>
      </c>
      <c r="J5" s="570"/>
      <c r="N5" s="208"/>
      <c r="R5" s="208"/>
      <c r="S5" s="208"/>
      <c r="T5" s="208"/>
      <c r="U5" s="208"/>
    </row>
    <row r="6" spans="1:26" s="89" customFormat="1" ht="12" customHeight="1">
      <c r="A6" s="204" t="str">
        <f>A37</f>
        <v>05.02.01. (T)</v>
      </c>
      <c r="B6" s="204" t="str">
        <f>B37</f>
        <v xml:space="preserve">Įgyvendinti Lietuvos Respublikos jaunimo politikos pagrindų įstatymo nuostatas </v>
      </c>
      <c r="J6" s="570"/>
      <c r="N6" s="208"/>
      <c r="R6" s="208"/>
      <c r="S6" s="208"/>
      <c r="T6" s="208"/>
      <c r="U6" s="208"/>
    </row>
    <row r="7" spans="1:26" s="89" customFormat="1" ht="12" customHeight="1">
      <c r="A7" s="89" t="str">
        <f>A46</f>
        <v>05.03.01. (T)</v>
      </c>
      <c r="B7" s="89" t="str">
        <f>B46</f>
        <v>Kurti ir plėtoti saugią aplinką 
Visagino savivaldybėje</v>
      </c>
      <c r="J7" s="570"/>
      <c r="N7" s="208"/>
      <c r="R7" s="208"/>
      <c r="S7" s="208"/>
      <c r="T7" s="208"/>
      <c r="U7" s="208"/>
    </row>
    <row r="8" spans="1:26" ht="12.75" customHeight="1">
      <c r="A8" s="89" t="str">
        <f>A59</f>
        <v>05.04.01. (T)</v>
      </c>
      <c r="B8" s="89" t="str">
        <f>B59</f>
        <v>Skatinti bendruomenę 
dalyvauti prevencinėse ir šviečiamosiose veiklose</v>
      </c>
      <c r="C8" s="89"/>
      <c r="D8" s="89"/>
      <c r="E8" s="89"/>
      <c r="F8" s="89"/>
      <c r="G8" s="89"/>
      <c r="H8" s="89"/>
      <c r="I8" s="89"/>
      <c r="J8" s="570"/>
      <c r="Y8" s="84"/>
      <c r="Z8" s="84"/>
    </row>
    <row r="9" spans="1:26" ht="11.25" customHeight="1">
      <c r="A9" s="89" t="str">
        <f>A72</f>
        <v>05.05.01. (T)</v>
      </c>
      <c r="B9" s="89" t="str">
        <f>B72</f>
        <v xml:space="preserve">Įgyvendinti diasporos politikos  strategines gaires "Globali Lietuva" 2023-2030 m. </v>
      </c>
      <c r="C9" s="89"/>
      <c r="D9" s="89"/>
      <c r="E9" s="89"/>
      <c r="F9" s="89"/>
      <c r="G9" s="89"/>
      <c r="H9" s="89"/>
      <c r="I9" s="89"/>
      <c r="J9" s="570"/>
      <c r="Y9" s="84"/>
      <c r="Z9" s="84"/>
    </row>
    <row r="10" spans="1:26" ht="15" customHeight="1">
      <c r="E10" s="84"/>
      <c r="F10" s="84"/>
      <c r="Y10" s="84"/>
      <c r="Z10" s="84"/>
    </row>
    <row r="11" spans="1:26" ht="21" customHeight="1">
      <c r="A11" s="2781" t="s">
        <v>3098</v>
      </c>
      <c r="B11" s="2781"/>
      <c r="C11" s="2781"/>
      <c r="D11" s="2781"/>
      <c r="E11" s="2781"/>
      <c r="F11" s="112"/>
      <c r="G11" s="112"/>
      <c r="H11" s="82"/>
      <c r="I11" s="82"/>
      <c r="J11" s="571"/>
      <c r="K11" s="83"/>
      <c r="L11" s="83"/>
      <c r="M11" s="83"/>
      <c r="N11" s="1484"/>
      <c r="O11" s="83"/>
      <c r="R11" s="207"/>
      <c r="S11" s="207"/>
      <c r="T11" s="207"/>
      <c r="U11" s="207"/>
      <c r="V11" s="82"/>
      <c r="Y11" s="84"/>
      <c r="Z11" s="84"/>
    </row>
    <row r="12" spans="1:26" ht="39.75" customHeight="1">
      <c r="A12" s="2781" t="s">
        <v>4240</v>
      </c>
      <c r="B12" s="2781"/>
      <c r="C12" s="2781"/>
      <c r="D12" s="2781"/>
      <c r="E12" s="2781"/>
      <c r="F12" s="2781"/>
      <c r="G12" s="2781"/>
      <c r="H12" s="2781"/>
      <c r="I12" s="2781"/>
      <c r="J12" s="2781"/>
      <c r="K12" s="2781"/>
      <c r="L12" s="2781"/>
      <c r="M12" s="2781"/>
      <c r="N12" s="2781"/>
      <c r="O12" s="2781"/>
      <c r="P12" s="2781"/>
      <c r="Q12" s="2781"/>
      <c r="R12" s="2781"/>
      <c r="S12" s="2781"/>
      <c r="T12" s="2781"/>
      <c r="U12" s="2781"/>
      <c r="V12" s="2781"/>
      <c r="Y12" s="84"/>
      <c r="Z12" s="84"/>
    </row>
    <row r="13" spans="1:26" s="89" customFormat="1" ht="12" customHeight="1">
      <c r="A13" s="87"/>
      <c r="B13" s="87"/>
      <c r="C13" s="87"/>
      <c r="D13" s="87"/>
      <c r="E13" s="87"/>
      <c r="F13" s="87"/>
      <c r="H13" s="87"/>
      <c r="I13" s="87"/>
      <c r="J13" s="460"/>
      <c r="N13" s="208"/>
      <c r="R13" s="208"/>
      <c r="S13" s="208"/>
      <c r="T13" s="208"/>
      <c r="U13" s="208"/>
    </row>
    <row r="14" spans="1:26" ht="12" customHeight="1">
      <c r="A14" s="2827" t="s">
        <v>4184</v>
      </c>
      <c r="B14" s="2827"/>
      <c r="C14" s="2827"/>
      <c r="D14" s="2827"/>
      <c r="E14" s="2827"/>
      <c r="F14" s="2827"/>
      <c r="G14" s="2827"/>
      <c r="H14" s="2827"/>
      <c r="I14" s="2827"/>
      <c r="J14" s="2827"/>
      <c r="K14" s="2827"/>
      <c r="L14" s="2827"/>
      <c r="M14" s="2827"/>
      <c r="N14" s="2827"/>
      <c r="O14" s="2827"/>
      <c r="R14" s="207"/>
      <c r="S14" s="207"/>
      <c r="T14" s="207"/>
      <c r="U14" s="207"/>
      <c r="V14" s="82"/>
      <c r="Y14" s="84"/>
      <c r="Z14" s="84"/>
    </row>
    <row r="15" spans="1:26" ht="39.75" customHeight="1">
      <c r="A15" s="2359" t="s">
        <v>730</v>
      </c>
      <c r="B15" s="2489" t="s">
        <v>2013</v>
      </c>
      <c r="C15" s="2826" t="s">
        <v>1072</v>
      </c>
      <c r="D15" s="2826" t="s">
        <v>1073</v>
      </c>
      <c r="E15" s="2823" t="s">
        <v>1091</v>
      </c>
      <c r="F15" s="2823" t="s">
        <v>1186</v>
      </c>
      <c r="G15" s="2825" t="s">
        <v>1088</v>
      </c>
      <c r="H15" s="2489" t="s">
        <v>2030</v>
      </c>
      <c r="I15" s="2447" t="s">
        <v>3099</v>
      </c>
      <c r="J15" s="2445" t="s">
        <v>3100</v>
      </c>
      <c r="K15" s="2489" t="s">
        <v>2029</v>
      </c>
      <c r="L15" s="2489" t="s">
        <v>2086</v>
      </c>
      <c r="M15" s="2359" t="s">
        <v>3097</v>
      </c>
      <c r="N15" s="2489" t="s">
        <v>2052</v>
      </c>
      <c r="O15" s="2489" t="s">
        <v>2921</v>
      </c>
      <c r="P15" s="2361" t="s">
        <v>731</v>
      </c>
      <c r="Q15" s="2361" t="s">
        <v>1093</v>
      </c>
      <c r="R15" s="2351" t="s">
        <v>732</v>
      </c>
      <c r="S15" s="2352"/>
      <c r="T15" s="2352"/>
      <c r="U15" s="2353"/>
      <c r="V15" s="2536" t="s">
        <v>733</v>
      </c>
      <c r="Y15" s="84"/>
      <c r="Z15" s="84"/>
    </row>
    <row r="16" spans="1:26" ht="39.75" customHeight="1">
      <c r="A16" s="2360"/>
      <c r="B16" s="2489"/>
      <c r="C16" s="2826"/>
      <c r="D16" s="2826"/>
      <c r="E16" s="2823"/>
      <c r="F16" s="2823"/>
      <c r="G16" s="2825"/>
      <c r="H16" s="2489"/>
      <c r="I16" s="2448"/>
      <c r="J16" s="2446"/>
      <c r="K16" s="2489"/>
      <c r="L16" s="2489"/>
      <c r="M16" s="2360"/>
      <c r="N16" s="2489"/>
      <c r="O16" s="2489"/>
      <c r="P16" s="2362"/>
      <c r="Q16" s="2362"/>
      <c r="R16" s="209">
        <v>2024</v>
      </c>
      <c r="S16" s="209">
        <v>2025</v>
      </c>
      <c r="T16" s="209">
        <v>2026</v>
      </c>
      <c r="U16" s="455">
        <v>2027</v>
      </c>
      <c r="V16" s="2536"/>
      <c r="Y16" s="84"/>
      <c r="Z16" s="84"/>
    </row>
    <row r="17" spans="1:48" s="288" customFormat="1" ht="39.75" customHeight="1">
      <c r="A17" s="1017" t="s">
        <v>2092</v>
      </c>
      <c r="B17" s="1017" t="s">
        <v>1211</v>
      </c>
      <c r="C17" s="1017"/>
      <c r="D17" s="1017"/>
      <c r="E17" s="1094">
        <f>SUM(E20,E24,E29,E32,E34,E36)</f>
        <v>77.731999999999999</v>
      </c>
      <c r="F17" s="1368">
        <f t="shared" ref="F17:F38" si="0">H17/E17-1</f>
        <v>0.30248803581536565</v>
      </c>
      <c r="G17" s="1094">
        <f>SUM(G20,G24,G29,G32,G34,G36)</f>
        <v>177.65600000000001</v>
      </c>
      <c r="H17" s="1095">
        <f>SUM(H20,H24,H29,H32,H34,H36)</f>
        <v>101.245</v>
      </c>
      <c r="I17" s="1096">
        <f>K17/H17-1</f>
        <v>1.1397106029927402</v>
      </c>
      <c r="J17" s="1094">
        <f>SUM(J20,J24,J29,J32,J34,J36)</f>
        <v>229.61</v>
      </c>
      <c r="K17" s="1095">
        <f>SUM(K20,K24,K29,K32,K34,K36)</f>
        <v>216.63499999999999</v>
      </c>
      <c r="L17" s="1095">
        <f>SUM(L20,L24,L29,L32,L34,L36)</f>
        <v>231.08499999999998</v>
      </c>
      <c r="M17" s="1095">
        <f>SUM(M20,M24,M29,M32,M34,M36)</f>
        <v>166.17500000000001</v>
      </c>
      <c r="N17" s="1017" t="s">
        <v>963</v>
      </c>
      <c r="O17" s="1017"/>
      <c r="P17" s="1017" t="s">
        <v>1421</v>
      </c>
      <c r="Q17" s="954" t="s">
        <v>3680</v>
      </c>
      <c r="R17" s="999" t="s">
        <v>1805</v>
      </c>
      <c r="S17" s="999" t="s">
        <v>1805</v>
      </c>
      <c r="T17" s="999" t="s">
        <v>1805</v>
      </c>
      <c r="U17" s="999" t="s">
        <v>1740</v>
      </c>
      <c r="V17" s="970" t="s">
        <v>965</v>
      </c>
      <c r="W17" s="205"/>
      <c r="X17" s="205"/>
      <c r="Y17" s="205"/>
      <c r="Z17" s="205"/>
      <c r="AA17" s="205"/>
      <c r="AB17" s="205"/>
      <c r="AC17" s="205"/>
      <c r="AD17" s="205"/>
      <c r="AE17" s="205"/>
      <c r="AF17" s="205"/>
      <c r="AG17" s="205"/>
      <c r="AH17" s="205"/>
      <c r="AI17" s="205"/>
      <c r="AJ17" s="205"/>
      <c r="AK17" s="205"/>
      <c r="AL17" s="205"/>
      <c r="AM17" s="205"/>
      <c r="AN17" s="205"/>
      <c r="AO17" s="205"/>
      <c r="AP17" s="205"/>
      <c r="AQ17" s="205"/>
      <c r="AR17" s="205"/>
      <c r="AS17" s="205"/>
      <c r="AT17" s="205"/>
      <c r="AU17" s="205"/>
      <c r="AV17" s="287"/>
    </row>
    <row r="18" spans="1:48" ht="39.75" customHeight="1">
      <c r="A18" s="2807" t="s">
        <v>2087</v>
      </c>
      <c r="B18" s="2354" t="s">
        <v>1212</v>
      </c>
      <c r="C18" s="2754" t="s">
        <v>1208</v>
      </c>
      <c r="D18" s="1360" t="s">
        <v>471</v>
      </c>
      <c r="E18" s="1099">
        <v>15</v>
      </c>
      <c r="F18" s="1361">
        <f t="shared" si="0"/>
        <v>0</v>
      </c>
      <c r="G18" s="1099">
        <v>16</v>
      </c>
      <c r="H18" s="1100">
        <v>15</v>
      </c>
      <c r="I18" s="1149">
        <f>K18/H18-1</f>
        <v>0</v>
      </c>
      <c r="J18" s="1099">
        <v>15</v>
      </c>
      <c r="K18" s="1100">
        <v>15</v>
      </c>
      <c r="L18" s="1100">
        <v>15</v>
      </c>
      <c r="M18" s="1053">
        <v>15</v>
      </c>
      <c r="N18" s="2694" t="s">
        <v>2326</v>
      </c>
      <c r="O18" s="2349" t="s">
        <v>1407</v>
      </c>
      <c r="P18" s="2343" t="s">
        <v>1416</v>
      </c>
      <c r="Q18" s="2343" t="s">
        <v>1408</v>
      </c>
      <c r="R18" s="2343" t="s">
        <v>1338</v>
      </c>
      <c r="S18" s="2343" t="s">
        <v>1338</v>
      </c>
      <c r="T18" s="2343" t="s">
        <v>1338</v>
      </c>
      <c r="U18" s="2343" t="s">
        <v>1338</v>
      </c>
      <c r="V18" s="2342" t="s">
        <v>2327</v>
      </c>
      <c r="Y18" s="84"/>
      <c r="Z18" s="84"/>
    </row>
    <row r="19" spans="1:48" ht="39.75" customHeight="1">
      <c r="A19" s="2745"/>
      <c r="B19" s="2617"/>
      <c r="C19" s="2755"/>
      <c r="D19" s="1360" t="s">
        <v>2928</v>
      </c>
      <c r="E19" s="1099"/>
      <c r="F19" s="1361"/>
      <c r="G19" s="1099"/>
      <c r="H19" s="1100">
        <v>5</v>
      </c>
      <c r="I19" s="1149">
        <f t="shared" ref="I19" si="1">K19/H19-1</f>
        <v>-1</v>
      </c>
      <c r="J19" s="1099"/>
      <c r="K19" s="1100"/>
      <c r="L19" s="1100"/>
      <c r="M19" s="1053"/>
      <c r="N19" s="2695"/>
      <c r="O19" s="2363"/>
      <c r="P19" s="2345"/>
      <c r="Q19" s="2345"/>
      <c r="R19" s="2345"/>
      <c r="S19" s="2345"/>
      <c r="T19" s="2345"/>
      <c r="U19" s="2345"/>
      <c r="V19" s="2342"/>
      <c r="Y19" s="84"/>
      <c r="Z19" s="84"/>
    </row>
    <row r="20" spans="1:48" ht="39.75" customHeight="1">
      <c r="A20" s="2745"/>
      <c r="B20" s="2617"/>
      <c r="C20" s="2783"/>
      <c r="D20" s="1056" t="s">
        <v>1076</v>
      </c>
      <c r="E20" s="1057">
        <f>SUM(E18:E18)</f>
        <v>15</v>
      </c>
      <c r="F20" s="1407">
        <f t="shared" si="0"/>
        <v>0.33333333333333326</v>
      </c>
      <c r="G20" s="1057">
        <f t="shared" ref="G20" si="2">SUM(G18:G18)</f>
        <v>16</v>
      </c>
      <c r="H20" s="1059">
        <f>SUM(H18:H19)</f>
        <v>20</v>
      </c>
      <c r="I20" s="1060">
        <f>K20/H20-1</f>
        <v>-0.25</v>
      </c>
      <c r="J20" s="1057">
        <f>SUM(J18:J19)</f>
        <v>15</v>
      </c>
      <c r="K20" s="1059">
        <f t="shared" ref="K20:M20" si="3">SUM(K18:K19)</f>
        <v>15</v>
      </c>
      <c r="L20" s="1059">
        <f t="shared" si="3"/>
        <v>15</v>
      </c>
      <c r="M20" s="1059">
        <f t="shared" si="3"/>
        <v>15</v>
      </c>
      <c r="N20" s="2695"/>
      <c r="O20" s="2350"/>
      <c r="P20" s="2344"/>
      <c r="Q20" s="2344"/>
      <c r="R20" s="2344"/>
      <c r="S20" s="2344"/>
      <c r="T20" s="2344"/>
      <c r="U20" s="2344"/>
      <c r="V20" s="2342"/>
      <c r="Y20" s="84"/>
      <c r="Z20" s="84"/>
    </row>
    <row r="21" spans="1:48" ht="39.75" customHeight="1">
      <c r="A21" s="2739" t="s">
        <v>2088</v>
      </c>
      <c r="B21" s="2465" t="s">
        <v>1213</v>
      </c>
      <c r="C21" s="2754" t="s">
        <v>1208</v>
      </c>
      <c r="D21" s="1360" t="s">
        <v>471</v>
      </c>
      <c r="E21" s="1099">
        <v>10</v>
      </c>
      <c r="F21" s="1361">
        <f t="shared" si="0"/>
        <v>0</v>
      </c>
      <c r="G21" s="1099">
        <v>15</v>
      </c>
      <c r="H21" s="1100">
        <v>10</v>
      </c>
      <c r="I21" s="1149">
        <f>K21/H21-1</f>
        <v>0.5</v>
      </c>
      <c r="J21" s="1099">
        <f>SUM(J25,J26,)</f>
        <v>28</v>
      </c>
      <c r="K21" s="1100">
        <v>15</v>
      </c>
      <c r="L21" s="1100">
        <v>15</v>
      </c>
      <c r="M21" s="1100">
        <v>15</v>
      </c>
      <c r="N21" s="2695"/>
      <c r="O21" s="2379" t="s">
        <v>3685</v>
      </c>
      <c r="P21" s="2343" t="s">
        <v>1417</v>
      </c>
      <c r="Q21" s="2343" t="s">
        <v>62</v>
      </c>
      <c r="R21" s="2343" t="s">
        <v>404</v>
      </c>
      <c r="S21" s="2343" t="s">
        <v>578</v>
      </c>
      <c r="T21" s="2343" t="s">
        <v>144</v>
      </c>
      <c r="U21" s="2343" t="s">
        <v>144</v>
      </c>
      <c r="V21" s="2342"/>
      <c r="Y21" s="84"/>
      <c r="Z21" s="84"/>
    </row>
    <row r="22" spans="1:48" ht="39.75" customHeight="1">
      <c r="A22" s="2739"/>
      <c r="B22" s="2465"/>
      <c r="C22" s="2755"/>
      <c r="D22" s="1360" t="s">
        <v>2928</v>
      </c>
      <c r="E22" s="1099"/>
      <c r="F22" s="1361"/>
      <c r="G22" s="1099"/>
      <c r="H22" s="1100">
        <v>5</v>
      </c>
      <c r="I22" s="1149">
        <f>K22/H22-1</f>
        <v>-1</v>
      </c>
      <c r="J22" s="1099"/>
      <c r="K22" s="1100"/>
      <c r="L22" s="1100"/>
      <c r="M22" s="1053"/>
      <c r="N22" s="2695"/>
      <c r="O22" s="2380"/>
      <c r="P22" s="2345"/>
      <c r="Q22" s="2345"/>
      <c r="R22" s="2345"/>
      <c r="S22" s="2345"/>
      <c r="T22" s="2345"/>
      <c r="U22" s="2345"/>
      <c r="V22" s="2342"/>
      <c r="Y22" s="84"/>
      <c r="Z22" s="84"/>
    </row>
    <row r="23" spans="1:48" ht="39.75" customHeight="1">
      <c r="A23" s="2739"/>
      <c r="B23" s="2465"/>
      <c r="C23" s="2755"/>
      <c r="D23" s="1360" t="s">
        <v>1122</v>
      </c>
      <c r="E23" s="1099">
        <v>14.532</v>
      </c>
      <c r="F23" s="1361">
        <f t="shared" si="0"/>
        <v>-3.557665840902835E-2</v>
      </c>
      <c r="G23" s="1099">
        <v>15</v>
      </c>
      <c r="H23" s="1100">
        <v>14.015000000000001</v>
      </c>
      <c r="I23" s="1149">
        <f>K23/H23-1</f>
        <v>-1.3556903317873847E-2</v>
      </c>
      <c r="J23" s="1099">
        <v>14</v>
      </c>
      <c r="K23" s="1100">
        <v>13.824999999999999</v>
      </c>
      <c r="L23" s="1100">
        <v>13.824999999999999</v>
      </c>
      <c r="M23" s="1100">
        <v>13.824999999999999</v>
      </c>
      <c r="N23" s="2695"/>
      <c r="O23" s="2380"/>
      <c r="P23" s="2345"/>
      <c r="Q23" s="2345"/>
      <c r="R23" s="2345"/>
      <c r="S23" s="2345"/>
      <c r="T23" s="2345"/>
      <c r="U23" s="2345"/>
      <c r="V23" s="2342"/>
      <c r="Y23" s="84"/>
      <c r="Z23" s="84"/>
    </row>
    <row r="24" spans="1:48" ht="66.75" customHeight="1">
      <c r="A24" s="2739"/>
      <c r="B24" s="2465"/>
      <c r="C24" s="2755"/>
      <c r="D24" s="1056" t="s">
        <v>1076</v>
      </c>
      <c r="E24" s="1057">
        <f>SUM(E21:E23)</f>
        <v>24.532</v>
      </c>
      <c r="F24" s="1407">
        <f t="shared" si="0"/>
        <v>0.18274090983205604</v>
      </c>
      <c r="G24" s="1057">
        <f>SUM(G21:G23)</f>
        <v>30</v>
      </c>
      <c r="H24" s="1059">
        <f>SUM(H21:H23)</f>
        <v>29.015000000000001</v>
      </c>
      <c r="I24" s="1060">
        <f>K24/H24-1</f>
        <v>-6.5483370670342822E-3</v>
      </c>
      <c r="J24" s="1057">
        <f t="shared" ref="J24:M24" si="4">SUM(J21:J23)</f>
        <v>42</v>
      </c>
      <c r="K24" s="1059">
        <f>SUM(K21:K23)</f>
        <v>28.824999999999999</v>
      </c>
      <c r="L24" s="1059">
        <f t="shared" si="4"/>
        <v>28.824999999999999</v>
      </c>
      <c r="M24" s="1059">
        <f t="shared" si="4"/>
        <v>28.824999999999999</v>
      </c>
      <c r="N24" s="2695"/>
      <c r="O24" s="2824"/>
      <c r="P24" s="2344"/>
      <c r="Q24" s="2344"/>
      <c r="R24" s="2344"/>
      <c r="S24" s="2344"/>
      <c r="T24" s="2344"/>
      <c r="U24" s="2344"/>
      <c r="V24" s="2342"/>
      <c r="Y24" s="84"/>
      <c r="Z24" s="84"/>
    </row>
    <row r="25" spans="1:48" ht="39.75" hidden="1" customHeight="1">
      <c r="A25" s="1417"/>
      <c r="B25" s="1011" t="s">
        <v>3376</v>
      </c>
      <c r="C25" s="1365"/>
      <c r="D25" s="1417" t="s">
        <v>471</v>
      </c>
      <c r="E25" s="1068"/>
      <c r="F25" s="1394"/>
      <c r="G25" s="1068"/>
      <c r="H25" s="989">
        <v>11</v>
      </c>
      <c r="I25" s="989"/>
      <c r="J25" s="1068">
        <v>20</v>
      </c>
      <c r="K25" s="989">
        <v>20</v>
      </c>
      <c r="L25" s="989">
        <v>23</v>
      </c>
      <c r="M25" s="989">
        <v>26</v>
      </c>
      <c r="N25" s="2695"/>
      <c r="O25" s="957" t="s">
        <v>3686</v>
      </c>
      <c r="P25" s="1004"/>
      <c r="Q25" s="1004"/>
      <c r="R25" s="1004"/>
      <c r="S25" s="1004"/>
      <c r="T25" s="1004"/>
      <c r="U25" s="1004"/>
      <c r="V25" s="2342"/>
      <c r="Y25" s="84"/>
      <c r="Z25" s="84"/>
    </row>
    <row r="26" spans="1:48" ht="39.75" hidden="1" customHeight="1">
      <c r="A26" s="1417"/>
      <c r="B26" s="1011" t="s">
        <v>3377</v>
      </c>
      <c r="C26" s="1365"/>
      <c r="D26" s="1417" t="s">
        <v>471</v>
      </c>
      <c r="E26" s="1068"/>
      <c r="F26" s="1394"/>
      <c r="G26" s="1068"/>
      <c r="H26" s="989">
        <v>4</v>
      </c>
      <c r="I26" s="989"/>
      <c r="J26" s="1068">
        <v>8</v>
      </c>
      <c r="K26" s="989">
        <v>8</v>
      </c>
      <c r="L26" s="989">
        <v>8.5</v>
      </c>
      <c r="M26" s="989">
        <v>9</v>
      </c>
      <c r="N26" s="2695"/>
      <c r="O26" s="957" t="s">
        <v>3379</v>
      </c>
      <c r="P26" s="1004"/>
      <c r="Q26" s="1004"/>
      <c r="R26" s="1004"/>
      <c r="S26" s="1004"/>
      <c r="T26" s="1004"/>
      <c r="U26" s="1004"/>
      <c r="V26" s="2342"/>
      <c r="Y26" s="84"/>
      <c r="Z26" s="84"/>
    </row>
    <row r="27" spans="1:48" ht="39.75" hidden="1" customHeight="1">
      <c r="A27" s="1417"/>
      <c r="B27" s="1011" t="s">
        <v>3378</v>
      </c>
      <c r="C27" s="1365"/>
      <c r="D27" s="1400" t="s">
        <v>1122</v>
      </c>
      <c r="E27" s="1068"/>
      <c r="F27" s="1394"/>
      <c r="G27" s="1068"/>
      <c r="H27" s="989">
        <v>14.015000000000001</v>
      </c>
      <c r="I27" s="989"/>
      <c r="J27" s="1068">
        <v>14</v>
      </c>
      <c r="K27" s="989">
        <v>14</v>
      </c>
      <c r="L27" s="989">
        <v>14</v>
      </c>
      <c r="M27" s="989">
        <v>14</v>
      </c>
      <c r="N27" s="2695"/>
      <c r="O27" s="957" t="s">
        <v>3380</v>
      </c>
      <c r="P27" s="1004"/>
      <c r="Q27" s="1004"/>
      <c r="R27" s="1004"/>
      <c r="S27" s="1004"/>
      <c r="T27" s="1004"/>
      <c r="U27" s="1004"/>
      <c r="V27" s="2342"/>
      <c r="Y27" s="84"/>
      <c r="Z27" s="84"/>
    </row>
    <row r="28" spans="1:48" ht="39.75" customHeight="1">
      <c r="A28" s="2739" t="s">
        <v>2089</v>
      </c>
      <c r="B28" s="2465" t="s">
        <v>2865</v>
      </c>
      <c r="C28" s="2755" t="s">
        <v>1208</v>
      </c>
      <c r="D28" s="1360" t="s">
        <v>471</v>
      </c>
      <c r="E28" s="1099">
        <v>1</v>
      </c>
      <c r="F28" s="1361">
        <f t="shared" si="0"/>
        <v>-0.5</v>
      </c>
      <c r="G28" s="1099">
        <v>0.7</v>
      </c>
      <c r="H28" s="1100">
        <v>0.5</v>
      </c>
      <c r="I28" s="1149">
        <f t="shared" ref="I28:I34" si="5">K28/H28-1</f>
        <v>0</v>
      </c>
      <c r="J28" s="1099">
        <v>0.5</v>
      </c>
      <c r="K28" s="1100">
        <v>0.5</v>
      </c>
      <c r="L28" s="1100">
        <v>0.5</v>
      </c>
      <c r="M28" s="1100">
        <v>0.5</v>
      </c>
      <c r="N28" s="2695"/>
      <c r="O28" s="2349" t="s">
        <v>1758</v>
      </c>
      <c r="P28" s="2343" t="s">
        <v>1418</v>
      </c>
      <c r="Q28" s="2343" t="s">
        <v>1760</v>
      </c>
      <c r="R28" s="2343" t="s">
        <v>433</v>
      </c>
      <c r="S28" s="2343" t="s">
        <v>433</v>
      </c>
      <c r="T28" s="2343" t="s">
        <v>1409</v>
      </c>
      <c r="U28" s="2343" t="s">
        <v>1409</v>
      </c>
      <c r="V28" s="2342"/>
      <c r="W28" s="154" t="s">
        <v>2864</v>
      </c>
      <c r="X28" s="91"/>
      <c r="Y28" s="84"/>
      <c r="Z28" s="84"/>
    </row>
    <row r="29" spans="1:48" ht="39.75" customHeight="1">
      <c r="A29" s="2739"/>
      <c r="B29" s="2465"/>
      <c r="C29" s="2783"/>
      <c r="D29" s="1056" t="s">
        <v>1076</v>
      </c>
      <c r="E29" s="1057">
        <f>SUM(E28:E28)</f>
        <v>1</v>
      </c>
      <c r="F29" s="1407">
        <f t="shared" si="0"/>
        <v>-0.5</v>
      </c>
      <c r="G29" s="1057">
        <f t="shared" ref="G29:M29" si="6">SUM(G28:G28)</f>
        <v>0.7</v>
      </c>
      <c r="H29" s="1059">
        <f t="shared" si="6"/>
        <v>0.5</v>
      </c>
      <c r="I29" s="1060">
        <f t="shared" si="5"/>
        <v>0</v>
      </c>
      <c r="J29" s="1057">
        <f t="shared" si="6"/>
        <v>0.5</v>
      </c>
      <c r="K29" s="1059">
        <f t="shared" si="6"/>
        <v>0.5</v>
      </c>
      <c r="L29" s="1059">
        <f t="shared" si="6"/>
        <v>0.5</v>
      </c>
      <c r="M29" s="1059">
        <f t="shared" si="6"/>
        <v>0.5</v>
      </c>
      <c r="N29" s="2695"/>
      <c r="O29" s="2350"/>
      <c r="P29" s="2344"/>
      <c r="Q29" s="2344"/>
      <c r="R29" s="2344"/>
      <c r="S29" s="2344"/>
      <c r="T29" s="2344"/>
      <c r="U29" s="2344"/>
      <c r="V29" s="2342"/>
      <c r="Y29" s="84"/>
      <c r="Z29" s="84"/>
    </row>
    <row r="30" spans="1:48" ht="39.75" customHeight="1">
      <c r="A30" s="2849" t="s">
        <v>2090</v>
      </c>
      <c r="B30" s="2617" t="s">
        <v>1214</v>
      </c>
      <c r="C30" s="2754" t="s">
        <v>1208</v>
      </c>
      <c r="D30" s="1360" t="s">
        <v>2928</v>
      </c>
      <c r="E30" s="1099">
        <v>0.5</v>
      </c>
      <c r="F30" s="1361">
        <f t="shared" ref="F30" si="7">H30/E30-1</f>
        <v>176.46</v>
      </c>
      <c r="G30" s="1099">
        <v>88.73</v>
      </c>
      <c r="H30" s="1100">
        <v>88.73</v>
      </c>
      <c r="I30" s="1149">
        <f t="shared" si="5"/>
        <v>-1</v>
      </c>
      <c r="J30" s="1099">
        <v>0</v>
      </c>
      <c r="K30" s="1100">
        <v>0</v>
      </c>
      <c r="L30" s="1100">
        <v>0</v>
      </c>
      <c r="M30" s="1100">
        <v>0</v>
      </c>
      <c r="N30" s="2695"/>
      <c r="O30" s="2349" t="s">
        <v>3687</v>
      </c>
      <c r="P30" s="2343" t="s">
        <v>1419</v>
      </c>
      <c r="Q30" s="2343" t="s">
        <v>1410</v>
      </c>
      <c r="R30" s="2343" t="s">
        <v>1409</v>
      </c>
      <c r="S30" s="2343" t="s">
        <v>1409</v>
      </c>
      <c r="T30" s="2343" t="s">
        <v>1409</v>
      </c>
      <c r="U30" s="2343" t="s">
        <v>1409</v>
      </c>
      <c r="V30" s="2342"/>
      <c r="Y30" s="84"/>
      <c r="Z30" s="84"/>
    </row>
    <row r="31" spans="1:48" ht="39.75" customHeight="1">
      <c r="A31" s="2849"/>
      <c r="B31" s="2617"/>
      <c r="C31" s="2755"/>
      <c r="D31" s="1360" t="s">
        <v>48</v>
      </c>
      <c r="E31" s="1099">
        <v>0.5</v>
      </c>
      <c r="F31" s="1361">
        <f t="shared" si="0"/>
        <v>-1</v>
      </c>
      <c r="G31" s="1099">
        <v>88.73</v>
      </c>
      <c r="H31" s="1100"/>
      <c r="I31" s="1149" t="e">
        <f t="shared" si="5"/>
        <v>#DIV/0!</v>
      </c>
      <c r="J31" s="1099">
        <v>88.73</v>
      </c>
      <c r="K31" s="1100">
        <v>88.73</v>
      </c>
      <c r="L31" s="1100">
        <v>98</v>
      </c>
      <c r="M31" s="1100">
        <v>28.5</v>
      </c>
      <c r="N31" s="2695"/>
      <c r="O31" s="2363"/>
      <c r="P31" s="2345"/>
      <c r="Q31" s="2345"/>
      <c r="R31" s="2345"/>
      <c r="S31" s="2345"/>
      <c r="T31" s="2345"/>
      <c r="U31" s="2345"/>
      <c r="V31" s="2342"/>
      <c r="Y31" s="84"/>
      <c r="Z31" s="84"/>
    </row>
    <row r="32" spans="1:48" ht="39.75" customHeight="1">
      <c r="A32" s="2849"/>
      <c r="B32" s="2617"/>
      <c r="C32" s="2755"/>
      <c r="D32" s="1152" t="s">
        <v>1076</v>
      </c>
      <c r="E32" s="1088">
        <f>SUM(E31:E31)</f>
        <v>0.5</v>
      </c>
      <c r="F32" s="1363">
        <f t="shared" si="0"/>
        <v>-1</v>
      </c>
      <c r="G32" s="1088">
        <f>G31</f>
        <v>88.73</v>
      </c>
      <c r="H32" s="1089">
        <f t="shared" ref="H32:M32" si="8">H31</f>
        <v>0</v>
      </c>
      <c r="I32" s="1358" t="e">
        <f t="shared" si="5"/>
        <v>#DIV/0!</v>
      </c>
      <c r="J32" s="1088">
        <f t="shared" si="8"/>
        <v>88.73</v>
      </c>
      <c r="K32" s="1089">
        <f t="shared" si="8"/>
        <v>88.73</v>
      </c>
      <c r="L32" s="1089">
        <f t="shared" si="8"/>
        <v>98</v>
      </c>
      <c r="M32" s="1089">
        <f t="shared" si="8"/>
        <v>28.5</v>
      </c>
      <c r="N32" s="2695"/>
      <c r="O32" s="2363"/>
      <c r="P32" s="2345"/>
      <c r="Q32" s="2345"/>
      <c r="R32" s="2345"/>
      <c r="S32" s="2345"/>
      <c r="T32" s="2345"/>
      <c r="U32" s="2345"/>
      <c r="V32" s="2343"/>
      <c r="Y32" s="84"/>
      <c r="Z32" s="84"/>
    </row>
    <row r="33" spans="1:26" ht="39.75" customHeight="1">
      <c r="A33" s="2739" t="s">
        <v>2091</v>
      </c>
      <c r="B33" s="2465" t="s">
        <v>1215</v>
      </c>
      <c r="C33" s="2466" t="s">
        <v>1208</v>
      </c>
      <c r="D33" s="1050" t="s">
        <v>471</v>
      </c>
      <c r="E33" s="1051">
        <v>34.5</v>
      </c>
      <c r="F33" s="1362">
        <f t="shared" si="0"/>
        <v>0.43478260869565211</v>
      </c>
      <c r="G33" s="1051">
        <v>40</v>
      </c>
      <c r="H33" s="1053">
        <v>49.5</v>
      </c>
      <c r="I33" s="1054">
        <f t="shared" si="5"/>
        <v>0.64404040404040397</v>
      </c>
      <c r="J33" s="1051">
        <v>81.38</v>
      </c>
      <c r="K33" s="1053">
        <v>81.38</v>
      </c>
      <c r="L33" s="1053">
        <v>86.56</v>
      </c>
      <c r="M33" s="1053">
        <v>91.15</v>
      </c>
      <c r="N33" s="2850" t="s">
        <v>969</v>
      </c>
      <c r="O33" s="2395" t="s">
        <v>3704</v>
      </c>
      <c r="P33" s="2342" t="s">
        <v>1420</v>
      </c>
      <c r="Q33" s="2342" t="s">
        <v>1411</v>
      </c>
      <c r="R33" s="2342" t="s">
        <v>433</v>
      </c>
      <c r="S33" s="2342" t="s">
        <v>433</v>
      </c>
      <c r="T33" s="2342" t="s">
        <v>433</v>
      </c>
      <c r="U33" s="2342" t="s">
        <v>433</v>
      </c>
      <c r="V33" s="2342" t="s">
        <v>1047</v>
      </c>
      <c r="Y33" s="84"/>
      <c r="Z33" s="84"/>
    </row>
    <row r="34" spans="1:26" ht="95.25" customHeight="1">
      <c r="A34" s="2739"/>
      <c r="B34" s="2465"/>
      <c r="C34" s="2466"/>
      <c r="D34" s="1056" t="s">
        <v>1076</v>
      </c>
      <c r="E34" s="1057">
        <f>SUM(E33:E33)</f>
        <v>34.5</v>
      </c>
      <c r="F34" s="1407">
        <f t="shared" si="0"/>
        <v>0.43478260869565211</v>
      </c>
      <c r="G34" s="1057">
        <f t="shared" ref="G34:M34" si="9">SUM(G33:G33)</f>
        <v>40</v>
      </c>
      <c r="H34" s="1059">
        <f t="shared" si="9"/>
        <v>49.5</v>
      </c>
      <c r="I34" s="1060">
        <f t="shared" si="5"/>
        <v>0.64404040404040397</v>
      </c>
      <c r="J34" s="1057">
        <f t="shared" si="9"/>
        <v>81.38</v>
      </c>
      <c r="K34" s="1059">
        <f t="shared" si="9"/>
        <v>81.38</v>
      </c>
      <c r="L34" s="1059">
        <f t="shared" si="9"/>
        <v>86.56</v>
      </c>
      <c r="M34" s="1059">
        <f t="shared" si="9"/>
        <v>91.15</v>
      </c>
      <c r="N34" s="2850"/>
      <c r="O34" s="2395"/>
      <c r="P34" s="2342"/>
      <c r="Q34" s="2342"/>
      <c r="R34" s="2342"/>
      <c r="S34" s="2342"/>
      <c r="T34" s="2342"/>
      <c r="U34" s="2342"/>
      <c r="V34" s="2342"/>
      <c r="Y34" s="84"/>
      <c r="Z34" s="84"/>
    </row>
    <row r="35" spans="1:26" ht="39.75" customHeight="1">
      <c r="A35" s="2739" t="s">
        <v>2680</v>
      </c>
      <c r="B35" s="2465" t="s">
        <v>1249</v>
      </c>
      <c r="C35" s="2466" t="s">
        <v>1208</v>
      </c>
      <c r="D35" s="1050" t="s">
        <v>471</v>
      </c>
      <c r="E35" s="1051">
        <v>2.2000000000000002</v>
      </c>
      <c r="F35" s="1362">
        <f t="shared" si="0"/>
        <v>1.3636363636363447E-2</v>
      </c>
      <c r="G35" s="1051">
        <v>2.226</v>
      </c>
      <c r="H35" s="1053">
        <v>2.23</v>
      </c>
      <c r="I35" s="1054">
        <f t="shared" ref="I35:I50" si="10">K35/H35-1</f>
        <v>-1.3452914798206206E-2</v>
      </c>
      <c r="J35" s="1051">
        <v>2</v>
      </c>
      <c r="K35" s="1053">
        <v>2.2000000000000002</v>
      </c>
      <c r="L35" s="1053">
        <v>2.2000000000000002</v>
      </c>
      <c r="M35" s="1053">
        <v>2.2000000000000002</v>
      </c>
      <c r="N35" s="2850" t="s">
        <v>969</v>
      </c>
      <c r="O35" s="2395" t="s">
        <v>2882</v>
      </c>
      <c r="P35" s="2342" t="s">
        <v>3052</v>
      </c>
      <c r="Q35" s="2342" t="s">
        <v>1481</v>
      </c>
      <c r="R35" s="2342" t="s">
        <v>324</v>
      </c>
      <c r="S35" s="2342" t="s">
        <v>324</v>
      </c>
      <c r="T35" s="2342" t="s">
        <v>324</v>
      </c>
      <c r="U35" s="2342" t="s">
        <v>324</v>
      </c>
      <c r="V35" s="2342" t="s">
        <v>1047</v>
      </c>
      <c r="Y35" s="84"/>
      <c r="Z35" s="84"/>
    </row>
    <row r="36" spans="1:26" ht="39.75" customHeight="1">
      <c r="A36" s="2739"/>
      <c r="B36" s="2465"/>
      <c r="C36" s="2466"/>
      <c r="D36" s="1056" t="s">
        <v>1076</v>
      </c>
      <c r="E36" s="1057">
        <f>SUM(E35:E35)</f>
        <v>2.2000000000000002</v>
      </c>
      <c r="F36" s="1407">
        <f t="shared" si="0"/>
        <v>1.3636363636363447E-2</v>
      </c>
      <c r="G36" s="1057">
        <f t="shared" ref="G36:M36" si="11">SUM(G35:G35)</f>
        <v>2.226</v>
      </c>
      <c r="H36" s="1059">
        <f t="shared" si="11"/>
        <v>2.23</v>
      </c>
      <c r="I36" s="1060">
        <f t="shared" si="10"/>
        <v>-1.3452914798206206E-2</v>
      </c>
      <c r="J36" s="1057">
        <f>J35</f>
        <v>2</v>
      </c>
      <c r="K36" s="1059">
        <f t="shared" si="11"/>
        <v>2.2000000000000002</v>
      </c>
      <c r="L36" s="1059">
        <f t="shared" si="11"/>
        <v>2.2000000000000002</v>
      </c>
      <c r="M36" s="1059">
        <f t="shared" si="11"/>
        <v>2.2000000000000002</v>
      </c>
      <c r="N36" s="2850"/>
      <c r="O36" s="2396"/>
      <c r="P36" s="2342"/>
      <c r="Q36" s="2342"/>
      <c r="R36" s="2342"/>
      <c r="S36" s="2342"/>
      <c r="T36" s="2342"/>
      <c r="U36" s="2342"/>
      <c r="V36" s="2342"/>
      <c r="Y36" s="84"/>
      <c r="Z36" s="84"/>
    </row>
    <row r="37" spans="1:26" ht="58.5" customHeight="1">
      <c r="A37" s="1366" t="s">
        <v>2093</v>
      </c>
      <c r="B37" s="970" t="s">
        <v>1753</v>
      </c>
      <c r="C37" s="1367"/>
      <c r="D37" s="1017"/>
      <c r="E37" s="1094">
        <f>SUM(E39,E41,E43,E45,)</f>
        <v>16.8</v>
      </c>
      <c r="F37" s="1368">
        <f t="shared" si="0"/>
        <v>1.2380952380952377</v>
      </c>
      <c r="G37" s="1094">
        <f t="shared" ref="G37:M37" si="12">SUM(G39,G41,G43,G45,)</f>
        <v>59.9</v>
      </c>
      <c r="H37" s="1095">
        <f t="shared" si="12"/>
        <v>37.599999999999994</v>
      </c>
      <c r="I37" s="1096">
        <f t="shared" si="10"/>
        <v>0.36436170212765973</v>
      </c>
      <c r="J37" s="1094">
        <f t="shared" si="12"/>
        <v>51.3</v>
      </c>
      <c r="K37" s="1095">
        <f>SUM(K39,K41,K43,K45,)</f>
        <v>51.3</v>
      </c>
      <c r="L37" s="1095">
        <f t="shared" si="12"/>
        <v>47.4</v>
      </c>
      <c r="M37" s="1095">
        <f t="shared" si="12"/>
        <v>47.9</v>
      </c>
      <c r="N37" s="1095" t="s">
        <v>1046</v>
      </c>
      <c r="O37" s="1016"/>
      <c r="P37" s="970" t="s">
        <v>1422</v>
      </c>
      <c r="Q37" s="970" t="s">
        <v>950</v>
      </c>
      <c r="R37" s="970" t="s">
        <v>578</v>
      </c>
      <c r="S37" s="970" t="s">
        <v>3681</v>
      </c>
      <c r="T37" s="970" t="s">
        <v>3681</v>
      </c>
      <c r="U37" s="970" t="s">
        <v>3681</v>
      </c>
      <c r="V37" s="970" t="s">
        <v>950</v>
      </c>
      <c r="Y37" s="84"/>
      <c r="Z37" s="84"/>
    </row>
    <row r="38" spans="1:26" ht="39.75" customHeight="1">
      <c r="A38" s="2727" t="s">
        <v>2094</v>
      </c>
      <c r="B38" s="2728" t="s">
        <v>1216</v>
      </c>
      <c r="C38" s="2722">
        <v>188711925</v>
      </c>
      <c r="D38" s="1082" t="s">
        <v>471</v>
      </c>
      <c r="E38" s="1051">
        <v>7</v>
      </c>
      <c r="F38" s="1362">
        <f t="shared" si="0"/>
        <v>0.14285714285714279</v>
      </c>
      <c r="G38" s="1051">
        <v>21.4</v>
      </c>
      <c r="H38" s="1053">
        <v>8</v>
      </c>
      <c r="I38" s="1054">
        <f t="shared" si="10"/>
        <v>1.0375000000000001</v>
      </c>
      <c r="J38" s="1051">
        <v>16.3</v>
      </c>
      <c r="K38" s="1053">
        <v>16.3</v>
      </c>
      <c r="L38" s="1053">
        <v>9.9</v>
      </c>
      <c r="M38" s="1053">
        <v>9.9</v>
      </c>
      <c r="N38" s="2850" t="s">
        <v>2272</v>
      </c>
      <c r="O38" s="2349" t="s">
        <v>3541</v>
      </c>
      <c r="P38" s="2344" t="s">
        <v>1423</v>
      </c>
      <c r="Q38" s="2344" t="s">
        <v>1412</v>
      </c>
      <c r="R38" s="2344" t="s">
        <v>1409</v>
      </c>
      <c r="S38" s="2344" t="s">
        <v>393</v>
      </c>
      <c r="T38" s="2344" t="s">
        <v>1366</v>
      </c>
      <c r="U38" s="2343" t="s">
        <v>1366</v>
      </c>
      <c r="V38" s="2345" t="s">
        <v>2328</v>
      </c>
      <c r="Y38" s="84"/>
      <c r="Z38" s="84"/>
    </row>
    <row r="39" spans="1:26" ht="39.75" customHeight="1">
      <c r="A39" s="2727"/>
      <c r="B39" s="2728"/>
      <c r="C39" s="2722"/>
      <c r="D39" s="1083" t="s">
        <v>1076</v>
      </c>
      <c r="E39" s="1057">
        <f>E38</f>
        <v>7</v>
      </c>
      <c r="F39" s="1407">
        <f t="shared" ref="F39:F85" si="13">H39/E39-1</f>
        <v>0.14285714285714279</v>
      </c>
      <c r="G39" s="1057">
        <f t="shared" ref="G39:M39" si="14">G38</f>
        <v>21.4</v>
      </c>
      <c r="H39" s="1059">
        <f t="shared" si="14"/>
        <v>8</v>
      </c>
      <c r="I39" s="1060">
        <f t="shared" si="10"/>
        <v>1.0375000000000001</v>
      </c>
      <c r="J39" s="1057">
        <f t="shared" si="14"/>
        <v>16.3</v>
      </c>
      <c r="K39" s="1059">
        <f t="shared" si="14"/>
        <v>16.3</v>
      </c>
      <c r="L39" s="1059">
        <f t="shared" si="14"/>
        <v>9.9</v>
      </c>
      <c r="M39" s="1059">
        <f t="shared" si="14"/>
        <v>9.9</v>
      </c>
      <c r="N39" s="2850"/>
      <c r="O39" s="2401"/>
      <c r="P39" s="2342"/>
      <c r="Q39" s="2342"/>
      <c r="R39" s="2342"/>
      <c r="S39" s="2342"/>
      <c r="T39" s="2342"/>
      <c r="U39" s="2344"/>
      <c r="V39" s="2344"/>
      <c r="Y39" s="84"/>
      <c r="Z39" s="84"/>
    </row>
    <row r="40" spans="1:26" ht="39.75" customHeight="1">
      <c r="A40" s="2727" t="s">
        <v>2095</v>
      </c>
      <c r="B40" s="2833" t="s">
        <v>3797</v>
      </c>
      <c r="C40" s="2722">
        <v>188711925</v>
      </c>
      <c r="D40" s="1082" t="s">
        <v>471</v>
      </c>
      <c r="E40" s="1051">
        <v>2.4</v>
      </c>
      <c r="F40" s="1362">
        <f t="shared" si="13"/>
        <v>0</v>
      </c>
      <c r="G40" s="1051">
        <v>2.5</v>
      </c>
      <c r="H40" s="1053">
        <v>2.4</v>
      </c>
      <c r="I40" s="1054">
        <f t="shared" si="10"/>
        <v>0.66666666666666674</v>
      </c>
      <c r="J40" s="1051">
        <v>4</v>
      </c>
      <c r="K40" s="1053">
        <v>4</v>
      </c>
      <c r="L40" s="1053">
        <v>4</v>
      </c>
      <c r="M40" s="1053">
        <v>4</v>
      </c>
      <c r="N40" s="2694" t="s">
        <v>2329</v>
      </c>
      <c r="O40" s="2349" t="s">
        <v>1754</v>
      </c>
      <c r="P40" s="2344" t="s">
        <v>1424</v>
      </c>
      <c r="Q40" s="2344" t="s">
        <v>3542</v>
      </c>
      <c r="R40" s="2343" t="s">
        <v>1349</v>
      </c>
      <c r="S40" s="2343" t="s">
        <v>1349</v>
      </c>
      <c r="T40" s="2343" t="s">
        <v>1349</v>
      </c>
      <c r="U40" s="2343" t="s">
        <v>1349</v>
      </c>
      <c r="V40" s="2343" t="s">
        <v>2330</v>
      </c>
      <c r="Y40" s="84"/>
      <c r="Z40" s="84"/>
    </row>
    <row r="41" spans="1:26" ht="66" customHeight="1">
      <c r="A41" s="2727"/>
      <c r="B41" s="2834"/>
      <c r="C41" s="2723"/>
      <c r="D41" s="1087" t="s">
        <v>1076</v>
      </c>
      <c r="E41" s="1088">
        <f>E40</f>
        <v>2.4</v>
      </c>
      <c r="F41" s="1407">
        <f t="shared" si="13"/>
        <v>0</v>
      </c>
      <c r="G41" s="1088">
        <f>SUM(G40)</f>
        <v>2.5</v>
      </c>
      <c r="H41" s="1089">
        <f t="shared" ref="H41:M41" si="15">SUM(H40)</f>
        <v>2.4</v>
      </c>
      <c r="I41" s="1358">
        <f t="shared" si="10"/>
        <v>0.66666666666666674</v>
      </c>
      <c r="J41" s="1088">
        <f t="shared" si="15"/>
        <v>4</v>
      </c>
      <c r="K41" s="1089">
        <f t="shared" si="15"/>
        <v>4</v>
      </c>
      <c r="L41" s="1089">
        <f t="shared" si="15"/>
        <v>4</v>
      </c>
      <c r="M41" s="1089">
        <f t="shared" si="15"/>
        <v>4</v>
      </c>
      <c r="N41" s="2696"/>
      <c r="O41" s="2401"/>
      <c r="P41" s="2342"/>
      <c r="Q41" s="2342"/>
      <c r="R41" s="2344"/>
      <c r="S41" s="2344"/>
      <c r="T41" s="2344"/>
      <c r="U41" s="2344"/>
      <c r="V41" s="2344"/>
      <c r="Y41" s="84"/>
      <c r="Z41" s="84"/>
    </row>
    <row r="42" spans="1:26" ht="39.75" customHeight="1">
      <c r="A42" s="2727" t="s">
        <v>2096</v>
      </c>
      <c r="B42" s="2728" t="s">
        <v>1217</v>
      </c>
      <c r="C42" s="2722">
        <v>188711925</v>
      </c>
      <c r="D42" s="1082" t="s">
        <v>471</v>
      </c>
      <c r="E42" s="1051">
        <v>3</v>
      </c>
      <c r="F42" s="1362">
        <f t="shared" si="13"/>
        <v>1</v>
      </c>
      <c r="G42" s="1051">
        <v>21</v>
      </c>
      <c r="H42" s="1053">
        <v>6</v>
      </c>
      <c r="I42" s="1054">
        <f t="shared" si="10"/>
        <v>0</v>
      </c>
      <c r="J42" s="1051">
        <v>6</v>
      </c>
      <c r="K42" s="1053">
        <v>6</v>
      </c>
      <c r="L42" s="1053">
        <v>6</v>
      </c>
      <c r="M42" s="1053">
        <v>6</v>
      </c>
      <c r="N42" s="2694" t="s">
        <v>2331</v>
      </c>
      <c r="O42" s="2395" t="s">
        <v>1756</v>
      </c>
      <c r="P42" s="2344" t="s">
        <v>1425</v>
      </c>
      <c r="Q42" s="2344" t="s">
        <v>1755</v>
      </c>
      <c r="R42" s="2343" t="s">
        <v>433</v>
      </c>
      <c r="S42" s="2343" t="s">
        <v>433</v>
      </c>
      <c r="T42" s="2343" t="s">
        <v>1409</v>
      </c>
      <c r="U42" s="2343" t="s">
        <v>1409</v>
      </c>
      <c r="V42" s="2343" t="s">
        <v>2332</v>
      </c>
      <c r="Y42" s="84"/>
      <c r="Z42" s="84"/>
    </row>
    <row r="43" spans="1:26" ht="39.75" customHeight="1">
      <c r="A43" s="2727"/>
      <c r="B43" s="2729"/>
      <c r="C43" s="2723"/>
      <c r="D43" s="1087" t="s">
        <v>1076</v>
      </c>
      <c r="E43" s="1088">
        <f>E42</f>
        <v>3</v>
      </c>
      <c r="F43" s="1407">
        <f t="shared" si="13"/>
        <v>1</v>
      </c>
      <c r="G43" s="1088">
        <f t="shared" ref="G43:M43" si="16">G42</f>
        <v>21</v>
      </c>
      <c r="H43" s="1089">
        <f t="shared" si="16"/>
        <v>6</v>
      </c>
      <c r="I43" s="1358">
        <f t="shared" si="10"/>
        <v>0</v>
      </c>
      <c r="J43" s="1088">
        <f t="shared" si="16"/>
        <v>6</v>
      </c>
      <c r="K43" s="1089">
        <f t="shared" si="16"/>
        <v>6</v>
      </c>
      <c r="L43" s="1089">
        <f t="shared" si="16"/>
        <v>6</v>
      </c>
      <c r="M43" s="1089">
        <f t="shared" si="16"/>
        <v>6</v>
      </c>
      <c r="N43" s="2696"/>
      <c r="O43" s="2396"/>
      <c r="P43" s="2342"/>
      <c r="Q43" s="2342"/>
      <c r="R43" s="2344"/>
      <c r="S43" s="2344"/>
      <c r="T43" s="2344"/>
      <c r="U43" s="2344"/>
      <c r="V43" s="2344"/>
      <c r="Y43" s="84"/>
      <c r="Z43" s="84"/>
    </row>
    <row r="44" spans="1:26" ht="39.75" customHeight="1">
      <c r="A44" s="2727" t="s">
        <v>2097</v>
      </c>
      <c r="B44" s="2728" t="s">
        <v>1218</v>
      </c>
      <c r="C44" s="2722">
        <v>188711925</v>
      </c>
      <c r="D44" s="1082" t="s">
        <v>471</v>
      </c>
      <c r="E44" s="1051">
        <v>4.4000000000000004</v>
      </c>
      <c r="F44" s="1362">
        <f t="shared" si="13"/>
        <v>3.8181818181818175</v>
      </c>
      <c r="G44" s="1051">
        <v>15</v>
      </c>
      <c r="H44" s="1053">
        <v>21.2</v>
      </c>
      <c r="I44" s="1054">
        <f t="shared" si="10"/>
        <v>0.179245283018868</v>
      </c>
      <c r="J44" s="1051">
        <v>25</v>
      </c>
      <c r="K44" s="1053">
        <v>25</v>
      </c>
      <c r="L44" s="1053">
        <v>27.5</v>
      </c>
      <c r="M44" s="1053">
        <v>28</v>
      </c>
      <c r="N44" s="2694" t="s">
        <v>2475</v>
      </c>
      <c r="O44" s="2395" t="s">
        <v>1757</v>
      </c>
      <c r="P44" s="2344" t="s">
        <v>1426</v>
      </c>
      <c r="Q44" s="2344" t="s">
        <v>1413</v>
      </c>
      <c r="R44" s="2343" t="s">
        <v>145</v>
      </c>
      <c r="S44" s="2343" t="s">
        <v>9</v>
      </c>
      <c r="T44" s="2343" t="s">
        <v>3688</v>
      </c>
      <c r="U44" s="2343" t="s">
        <v>3688</v>
      </c>
      <c r="V44" s="2343" t="s">
        <v>2476</v>
      </c>
      <c r="Y44" s="84"/>
      <c r="Z44" s="84"/>
    </row>
    <row r="45" spans="1:26" ht="39.75" customHeight="1">
      <c r="A45" s="2727"/>
      <c r="B45" s="2729"/>
      <c r="C45" s="2723"/>
      <c r="D45" s="1087" t="s">
        <v>1076</v>
      </c>
      <c r="E45" s="1088">
        <f>E44</f>
        <v>4.4000000000000004</v>
      </c>
      <c r="F45" s="1363">
        <f t="shared" si="13"/>
        <v>3.8181818181818175</v>
      </c>
      <c r="G45" s="1088">
        <f t="shared" ref="G45:M45" si="17">G44</f>
        <v>15</v>
      </c>
      <c r="H45" s="1089">
        <f t="shared" si="17"/>
        <v>21.2</v>
      </c>
      <c r="I45" s="1358">
        <f t="shared" si="10"/>
        <v>0.179245283018868</v>
      </c>
      <c r="J45" s="1088">
        <f t="shared" si="17"/>
        <v>25</v>
      </c>
      <c r="K45" s="1089">
        <f t="shared" si="17"/>
        <v>25</v>
      </c>
      <c r="L45" s="1089">
        <f t="shared" si="17"/>
        <v>27.5</v>
      </c>
      <c r="M45" s="1089">
        <f t="shared" si="17"/>
        <v>28</v>
      </c>
      <c r="N45" s="2696"/>
      <c r="O45" s="2396"/>
      <c r="P45" s="2342"/>
      <c r="Q45" s="2342"/>
      <c r="R45" s="2344"/>
      <c r="S45" s="2344"/>
      <c r="T45" s="2344"/>
      <c r="U45" s="2344"/>
      <c r="V45" s="2344"/>
      <c r="Y45" s="84"/>
      <c r="Z45" s="84"/>
    </row>
    <row r="46" spans="1:26" ht="72" customHeight="1">
      <c r="A46" s="1017" t="s">
        <v>2098</v>
      </c>
      <c r="B46" s="954" t="s">
        <v>2099</v>
      </c>
      <c r="C46" s="1017"/>
      <c r="D46" s="1017"/>
      <c r="E46" s="1094">
        <f>SUM(E48,E50,E56,E58)</f>
        <v>172.5</v>
      </c>
      <c r="F46" s="1368">
        <f t="shared" si="13"/>
        <v>5.7333333333333236E-2</v>
      </c>
      <c r="G46" s="1094">
        <f>SUM(G48,G50,G56,G58)</f>
        <v>186.89</v>
      </c>
      <c r="H46" s="1095">
        <f>SUM(H48,H50,H56,H58)</f>
        <v>182.39</v>
      </c>
      <c r="I46" s="1096">
        <f t="shared" si="10"/>
        <v>1.0168320631613579</v>
      </c>
      <c r="J46" s="1094">
        <f>SUM(J48,J50,J56,J58)</f>
        <v>468.85</v>
      </c>
      <c r="K46" s="1095">
        <f>SUM(K48,K50,K56,K58)</f>
        <v>367.85</v>
      </c>
      <c r="L46" s="1095">
        <f>SUM(L48,L50,L56,L58)</f>
        <v>304.851</v>
      </c>
      <c r="M46" s="1095">
        <f>SUM(M48,M50,M56,M58)</f>
        <v>146.001</v>
      </c>
      <c r="N46" s="1017" t="s">
        <v>978</v>
      </c>
      <c r="O46" s="1017"/>
      <c r="P46" s="970" t="s">
        <v>1427</v>
      </c>
      <c r="Q46" s="970" t="s">
        <v>1761</v>
      </c>
      <c r="R46" s="970" t="s">
        <v>1762</v>
      </c>
      <c r="S46" s="970" t="s">
        <v>3692</v>
      </c>
      <c r="T46" s="970" t="s">
        <v>3693</v>
      </c>
      <c r="U46" s="970" t="s">
        <v>3485</v>
      </c>
      <c r="V46" s="970" t="s">
        <v>980</v>
      </c>
      <c r="Y46" s="84"/>
      <c r="Z46" s="84"/>
    </row>
    <row r="47" spans="1:26" ht="39.75" customHeight="1">
      <c r="A47" s="2746" t="s">
        <v>2100</v>
      </c>
      <c r="B47" s="2795" t="s">
        <v>1219</v>
      </c>
      <c r="C47" s="2752">
        <v>188711925</v>
      </c>
      <c r="D47" s="1098" t="s">
        <v>471</v>
      </c>
      <c r="E47" s="1099">
        <v>3.5</v>
      </c>
      <c r="F47" s="1361">
        <f t="shared" si="13"/>
        <v>-0.5714285714285714</v>
      </c>
      <c r="G47" s="1099">
        <v>4</v>
      </c>
      <c r="H47" s="1100">
        <v>1.5</v>
      </c>
      <c r="I47" s="1054">
        <f t="shared" si="10"/>
        <v>0.33333333333333326</v>
      </c>
      <c r="J47" s="1051">
        <v>6</v>
      </c>
      <c r="K47" s="1053">
        <v>2</v>
      </c>
      <c r="L47" s="1053">
        <v>2</v>
      </c>
      <c r="M47" s="1053">
        <v>2</v>
      </c>
      <c r="N47" s="2694" t="s">
        <v>2333</v>
      </c>
      <c r="O47" s="2363" t="s">
        <v>1759</v>
      </c>
      <c r="P47" s="2342" t="s">
        <v>1429</v>
      </c>
      <c r="Q47" s="2342" t="s">
        <v>220</v>
      </c>
      <c r="R47" s="2342" t="s">
        <v>1409</v>
      </c>
      <c r="S47" s="2342" t="s">
        <v>1409</v>
      </c>
      <c r="T47" s="2342" t="s">
        <v>1409</v>
      </c>
      <c r="U47" s="2343" t="s">
        <v>1409</v>
      </c>
      <c r="V47" s="2343" t="s">
        <v>2334</v>
      </c>
      <c r="Y47" s="84"/>
      <c r="Z47" s="84"/>
    </row>
    <row r="48" spans="1:26" ht="39.75" customHeight="1">
      <c r="A48" s="2727"/>
      <c r="B48" s="2728"/>
      <c r="C48" s="2722"/>
      <c r="D48" s="1083" t="s">
        <v>1076</v>
      </c>
      <c r="E48" s="1057">
        <f>E47</f>
        <v>3.5</v>
      </c>
      <c r="F48" s="1407">
        <f t="shared" si="13"/>
        <v>-0.5714285714285714</v>
      </c>
      <c r="G48" s="1057">
        <f t="shared" ref="G48:M48" si="18">G47</f>
        <v>4</v>
      </c>
      <c r="H48" s="1059">
        <f t="shared" si="18"/>
        <v>1.5</v>
      </c>
      <c r="I48" s="1060">
        <f t="shared" si="10"/>
        <v>0.33333333333333326</v>
      </c>
      <c r="J48" s="1057">
        <f>J47</f>
        <v>6</v>
      </c>
      <c r="K48" s="1059">
        <f t="shared" si="18"/>
        <v>2</v>
      </c>
      <c r="L48" s="1059">
        <f t="shared" si="18"/>
        <v>2</v>
      </c>
      <c r="M48" s="1059">
        <f t="shared" si="18"/>
        <v>2</v>
      </c>
      <c r="N48" s="2696"/>
      <c r="O48" s="2401"/>
      <c r="P48" s="2342"/>
      <c r="Q48" s="2342"/>
      <c r="R48" s="2342"/>
      <c r="S48" s="2342"/>
      <c r="T48" s="2342"/>
      <c r="U48" s="2344"/>
      <c r="V48" s="2344"/>
      <c r="Y48" s="84"/>
      <c r="Z48" s="84"/>
    </row>
    <row r="49" spans="1:26" ht="39.75" customHeight="1">
      <c r="A49" s="2727" t="s">
        <v>2101</v>
      </c>
      <c r="B49" s="2836" t="s">
        <v>3689</v>
      </c>
      <c r="C49" s="2722">
        <v>188711925</v>
      </c>
      <c r="D49" s="1082" t="s">
        <v>471</v>
      </c>
      <c r="E49" s="1051">
        <v>110.1</v>
      </c>
      <c r="F49" s="1362">
        <f t="shared" si="13"/>
        <v>0.21607629427792907</v>
      </c>
      <c r="G49" s="1051">
        <v>133.88999999999999</v>
      </c>
      <c r="H49" s="1053">
        <v>133.88999999999999</v>
      </c>
      <c r="I49" s="1054">
        <f t="shared" si="10"/>
        <v>1.3664948838598856</v>
      </c>
      <c r="J49" s="1051">
        <f>SUM(J51,J52,J53,)</f>
        <v>411.85</v>
      </c>
      <c r="K49" s="1053">
        <f>SUM(K51,K52,K53,K54)</f>
        <v>316.85000000000002</v>
      </c>
      <c r="L49" s="1053">
        <f>SUM(L51,L52,L53,L54)</f>
        <v>296.851</v>
      </c>
      <c r="M49" s="1053">
        <f t="shared" ref="M49" si="19">SUM(M51,M52,M53,M54)</f>
        <v>141.001</v>
      </c>
      <c r="N49" s="2694" t="s">
        <v>2335</v>
      </c>
      <c r="O49" s="2349" t="s">
        <v>2883</v>
      </c>
      <c r="P49" s="2344" t="s">
        <v>1428</v>
      </c>
      <c r="Q49" s="2344" t="s">
        <v>27</v>
      </c>
      <c r="R49" s="2343" t="s">
        <v>586</v>
      </c>
      <c r="S49" s="2343" t="s">
        <v>586</v>
      </c>
      <c r="T49" s="2343" t="s">
        <v>586</v>
      </c>
      <c r="U49" s="2343" t="s">
        <v>586</v>
      </c>
      <c r="V49" s="2343" t="s">
        <v>2336</v>
      </c>
      <c r="Y49" s="84"/>
      <c r="Z49" s="84"/>
    </row>
    <row r="50" spans="1:26" ht="39.75" customHeight="1">
      <c r="A50" s="2727"/>
      <c r="B50" s="2833"/>
      <c r="C50" s="2723"/>
      <c r="D50" s="1087" t="s">
        <v>1076</v>
      </c>
      <c r="E50" s="1088">
        <f>E49</f>
        <v>110.1</v>
      </c>
      <c r="F50" s="1407">
        <f t="shared" si="13"/>
        <v>0.21607629427792907</v>
      </c>
      <c r="G50" s="1088">
        <f t="shared" ref="G50:M50" si="20">G49</f>
        <v>133.88999999999999</v>
      </c>
      <c r="H50" s="1089">
        <f t="shared" si="20"/>
        <v>133.88999999999999</v>
      </c>
      <c r="I50" s="1358">
        <f t="shared" si="10"/>
        <v>1.3664948838598856</v>
      </c>
      <c r="J50" s="1088">
        <f t="shared" si="20"/>
        <v>411.85</v>
      </c>
      <c r="K50" s="1089">
        <f t="shared" si="20"/>
        <v>316.85000000000002</v>
      </c>
      <c r="L50" s="1089">
        <f t="shared" si="20"/>
        <v>296.851</v>
      </c>
      <c r="M50" s="1089">
        <f t="shared" si="20"/>
        <v>141.001</v>
      </c>
      <c r="N50" s="2696"/>
      <c r="O50" s="2401"/>
      <c r="P50" s="2342"/>
      <c r="Q50" s="2342"/>
      <c r="R50" s="2344"/>
      <c r="S50" s="2344"/>
      <c r="T50" s="2344"/>
      <c r="U50" s="2344"/>
      <c r="V50" s="2344"/>
      <c r="Y50" s="84"/>
      <c r="Z50" s="84"/>
    </row>
    <row r="51" spans="1:26" ht="39.75" hidden="1" customHeight="1">
      <c r="A51" s="1485"/>
      <c r="B51" s="1486" t="s">
        <v>3381</v>
      </c>
      <c r="C51" s="1487"/>
      <c r="D51" s="1488"/>
      <c r="E51" s="1489"/>
      <c r="F51" s="1490"/>
      <c r="G51" s="1489"/>
      <c r="H51" s="1491">
        <v>45</v>
      </c>
      <c r="I51" s="989"/>
      <c r="J51" s="1068">
        <v>14.4</v>
      </c>
      <c r="K51" s="989">
        <v>14.4</v>
      </c>
      <c r="L51" s="989">
        <v>14.4</v>
      </c>
      <c r="M51" s="989">
        <v>20</v>
      </c>
      <c r="N51" s="1145"/>
      <c r="O51" s="1011" t="s">
        <v>3384</v>
      </c>
      <c r="P51" s="1031"/>
      <c r="Q51" s="1032"/>
      <c r="R51" s="1384"/>
      <c r="S51" s="1384"/>
      <c r="T51" s="1384"/>
      <c r="U51" s="1384"/>
      <c r="V51" s="1384"/>
      <c r="Y51" s="84"/>
      <c r="Z51" s="84"/>
    </row>
    <row r="52" spans="1:26" ht="39.75" hidden="1" customHeight="1">
      <c r="A52" s="1485"/>
      <c r="B52" s="1486" t="s">
        <v>3382</v>
      </c>
      <c r="C52" s="1487"/>
      <c r="D52" s="1488"/>
      <c r="E52" s="1489"/>
      <c r="F52" s="1490"/>
      <c r="G52" s="1489"/>
      <c r="H52" s="1491"/>
      <c r="I52" s="989"/>
      <c r="J52" s="1068">
        <v>47.45</v>
      </c>
      <c r="K52" s="989">
        <v>47.45</v>
      </c>
      <c r="L52" s="989">
        <v>47.451000000000001</v>
      </c>
      <c r="M52" s="989">
        <v>55.000999999999998</v>
      </c>
      <c r="N52" s="1145"/>
      <c r="O52" s="1011" t="s">
        <v>3385</v>
      </c>
      <c r="P52" s="1031"/>
      <c r="Q52" s="1032"/>
      <c r="R52" s="1384"/>
      <c r="S52" s="1384"/>
      <c r="T52" s="1384"/>
      <c r="U52" s="1384"/>
      <c r="V52" s="1384"/>
      <c r="Y52" s="84"/>
      <c r="Z52" s="84"/>
    </row>
    <row r="53" spans="1:26" ht="39.75" hidden="1" customHeight="1">
      <c r="A53" s="1485"/>
      <c r="B53" s="1486" t="s">
        <v>3383</v>
      </c>
      <c r="C53" s="1487"/>
      <c r="D53" s="1488"/>
      <c r="E53" s="1489"/>
      <c r="F53" s="1490"/>
      <c r="G53" s="1489"/>
      <c r="H53" s="1491"/>
      <c r="I53" s="989"/>
      <c r="J53" s="1120">
        <v>350</v>
      </c>
      <c r="K53" s="989">
        <v>100</v>
      </c>
      <c r="L53" s="989">
        <v>150</v>
      </c>
      <c r="M53" s="989"/>
      <c r="N53" s="1145"/>
      <c r="O53" s="1011" t="s">
        <v>3386</v>
      </c>
      <c r="P53" s="1031"/>
      <c r="Q53" s="1032"/>
      <c r="R53" s="1384"/>
      <c r="S53" s="1384"/>
      <c r="T53" s="1384"/>
      <c r="U53" s="1384"/>
      <c r="V53" s="1384"/>
      <c r="Y53" s="84"/>
      <c r="Z53" s="84"/>
    </row>
    <row r="54" spans="1:26" ht="39.75" hidden="1" customHeight="1">
      <c r="A54" s="1485"/>
      <c r="B54" s="1486" t="s">
        <v>3353</v>
      </c>
      <c r="C54" s="1487"/>
      <c r="D54" s="1488"/>
      <c r="E54" s="1489"/>
      <c r="F54" s="1490"/>
      <c r="G54" s="1489"/>
      <c r="H54" s="1491"/>
      <c r="I54" s="989"/>
      <c r="J54" s="1120">
        <v>120</v>
      </c>
      <c r="K54" s="989">
        <v>155</v>
      </c>
      <c r="L54" s="989">
        <v>85</v>
      </c>
      <c r="M54" s="989">
        <v>66</v>
      </c>
      <c r="N54" s="1145"/>
      <c r="O54" s="1011" t="s">
        <v>3578</v>
      </c>
      <c r="P54" s="1031"/>
      <c r="Q54" s="1032"/>
      <c r="R54" s="1384"/>
      <c r="S54" s="1384"/>
      <c r="T54" s="1384"/>
      <c r="U54" s="1384"/>
      <c r="V54" s="1384"/>
      <c r="Y54" s="84"/>
      <c r="Z54" s="84"/>
    </row>
    <row r="55" spans="1:26" ht="39.75" customHeight="1">
      <c r="A55" s="2727" t="s">
        <v>2102</v>
      </c>
      <c r="B55" s="2728" t="s">
        <v>1220</v>
      </c>
      <c r="C55" s="2722">
        <v>188711925</v>
      </c>
      <c r="D55" s="1082" t="s">
        <v>471</v>
      </c>
      <c r="E55" s="1051">
        <v>2.9</v>
      </c>
      <c r="F55" s="1362">
        <f t="shared" si="13"/>
        <v>-0.31034482758620685</v>
      </c>
      <c r="G55" s="1051">
        <v>4</v>
      </c>
      <c r="H55" s="1053">
        <v>2</v>
      </c>
      <c r="I55" s="1054">
        <f t="shared" ref="I55:I61" si="21">K55/H55-1</f>
        <v>1</v>
      </c>
      <c r="J55" s="1051">
        <v>6</v>
      </c>
      <c r="K55" s="1053">
        <v>4</v>
      </c>
      <c r="L55" s="1053">
        <v>6</v>
      </c>
      <c r="M55" s="1053">
        <v>3</v>
      </c>
      <c r="N55" s="2694" t="s">
        <v>2337</v>
      </c>
      <c r="O55" s="2395" t="s">
        <v>3705</v>
      </c>
      <c r="P55" s="2344" t="s">
        <v>1430</v>
      </c>
      <c r="Q55" s="2344" t="s">
        <v>1414</v>
      </c>
      <c r="R55" s="2343" t="s">
        <v>433</v>
      </c>
      <c r="S55" s="2343" t="s">
        <v>404</v>
      </c>
      <c r="T55" s="2343" t="s">
        <v>3706</v>
      </c>
      <c r="U55" s="2343" t="s">
        <v>3706</v>
      </c>
      <c r="V55" s="2343" t="s">
        <v>2338</v>
      </c>
      <c r="Y55" s="84"/>
      <c r="Z55" s="84"/>
    </row>
    <row r="56" spans="1:26" ht="65.25" customHeight="1">
      <c r="A56" s="2727"/>
      <c r="B56" s="2729"/>
      <c r="C56" s="2723"/>
      <c r="D56" s="1087" t="s">
        <v>1076</v>
      </c>
      <c r="E56" s="1088">
        <f>E55</f>
        <v>2.9</v>
      </c>
      <c r="F56" s="1407">
        <f t="shared" si="13"/>
        <v>-0.31034482758620685</v>
      </c>
      <c r="G56" s="1088">
        <f t="shared" ref="G56:M56" si="22">G55</f>
        <v>4</v>
      </c>
      <c r="H56" s="1089">
        <f t="shared" si="22"/>
        <v>2</v>
      </c>
      <c r="I56" s="1060">
        <f t="shared" si="21"/>
        <v>1</v>
      </c>
      <c r="J56" s="1057">
        <f>J55</f>
        <v>6</v>
      </c>
      <c r="K56" s="1059">
        <f t="shared" si="22"/>
        <v>4</v>
      </c>
      <c r="L56" s="1059">
        <f t="shared" si="22"/>
        <v>6</v>
      </c>
      <c r="M56" s="1059">
        <f t="shared" si="22"/>
        <v>3</v>
      </c>
      <c r="N56" s="2696"/>
      <c r="O56" s="2396"/>
      <c r="P56" s="2342"/>
      <c r="Q56" s="2342"/>
      <c r="R56" s="2344"/>
      <c r="S56" s="2344"/>
      <c r="T56" s="2344"/>
      <c r="U56" s="2344"/>
      <c r="V56" s="2344"/>
      <c r="Y56" s="84"/>
      <c r="Z56" s="84"/>
    </row>
    <row r="57" spans="1:26" ht="39.75" customHeight="1">
      <c r="A57" s="2727" t="s">
        <v>2103</v>
      </c>
      <c r="B57" s="2833" t="s">
        <v>3690</v>
      </c>
      <c r="C57" s="2722">
        <v>188711925</v>
      </c>
      <c r="D57" s="1082" t="s">
        <v>471</v>
      </c>
      <c r="E57" s="1051">
        <v>56</v>
      </c>
      <c r="F57" s="1362">
        <f t="shared" si="13"/>
        <v>-0.1964285714285714</v>
      </c>
      <c r="G57" s="1051">
        <v>45</v>
      </c>
      <c r="H57" s="1053">
        <v>45</v>
      </c>
      <c r="I57" s="1054">
        <f t="shared" si="21"/>
        <v>0</v>
      </c>
      <c r="J57" s="1051">
        <v>45</v>
      </c>
      <c r="K57" s="1053">
        <v>45</v>
      </c>
      <c r="L57" s="1053">
        <v>0</v>
      </c>
      <c r="M57" s="1053">
        <v>0</v>
      </c>
      <c r="N57" s="2694" t="s">
        <v>2339</v>
      </c>
      <c r="O57" s="2395" t="s">
        <v>3707</v>
      </c>
      <c r="P57" s="2344" t="s">
        <v>1431</v>
      </c>
      <c r="Q57" s="2344" t="s">
        <v>3703</v>
      </c>
      <c r="R57" s="2343" t="s">
        <v>144</v>
      </c>
      <c r="S57" s="2343" t="s">
        <v>3691</v>
      </c>
      <c r="T57" s="2343" t="s">
        <v>3691</v>
      </c>
      <c r="U57" s="2343" t="s">
        <v>3691</v>
      </c>
      <c r="V57" s="2343" t="s">
        <v>2592</v>
      </c>
      <c r="Y57" s="84"/>
      <c r="Z57" s="84"/>
    </row>
    <row r="58" spans="1:26" ht="39.75" customHeight="1">
      <c r="A58" s="2727"/>
      <c r="B58" s="2834"/>
      <c r="C58" s="2723"/>
      <c r="D58" s="1087" t="s">
        <v>1076</v>
      </c>
      <c r="E58" s="1088">
        <f>E57</f>
        <v>56</v>
      </c>
      <c r="F58" s="1407">
        <f t="shared" si="13"/>
        <v>-0.1964285714285714</v>
      </c>
      <c r="G58" s="1088">
        <f t="shared" ref="G58:M58" si="23">G57</f>
        <v>45</v>
      </c>
      <c r="H58" s="1089">
        <f t="shared" si="23"/>
        <v>45</v>
      </c>
      <c r="I58" s="1358">
        <f t="shared" si="21"/>
        <v>0</v>
      </c>
      <c r="J58" s="1088">
        <f t="shared" si="23"/>
        <v>45</v>
      </c>
      <c r="K58" s="1089">
        <f t="shared" si="23"/>
        <v>45</v>
      </c>
      <c r="L58" s="1089">
        <f t="shared" si="23"/>
        <v>0</v>
      </c>
      <c r="M58" s="1089">
        <f t="shared" si="23"/>
        <v>0</v>
      </c>
      <c r="N58" s="2696"/>
      <c r="O58" s="2396"/>
      <c r="P58" s="2342"/>
      <c r="Q58" s="2342"/>
      <c r="R58" s="2344"/>
      <c r="S58" s="2344"/>
      <c r="T58" s="2344"/>
      <c r="U58" s="2344"/>
      <c r="V58" s="2344"/>
      <c r="Y58" s="84"/>
      <c r="Z58" s="84"/>
    </row>
    <row r="59" spans="1:26" ht="69" customHeight="1">
      <c r="A59" s="1017" t="s">
        <v>2104</v>
      </c>
      <c r="B59" s="954" t="s">
        <v>2105</v>
      </c>
      <c r="C59" s="1017"/>
      <c r="D59" s="1017"/>
      <c r="E59" s="1094">
        <f>SUM(E61,E63,)</f>
        <v>35.26</v>
      </c>
      <c r="F59" s="1368">
        <f t="shared" si="13"/>
        <v>-0.73848553601815081</v>
      </c>
      <c r="G59" s="1094">
        <f t="shared" ref="G59:M59" si="24">SUM(G61,G63,)</f>
        <v>7.8390000000000004</v>
      </c>
      <c r="H59" s="1095">
        <f>SUM(H61,H63,)</f>
        <v>9.2210000000000001</v>
      </c>
      <c r="I59" s="1096">
        <f t="shared" si="21"/>
        <v>-0.67465567725843179</v>
      </c>
      <c r="J59" s="1094"/>
      <c r="K59" s="1095">
        <f t="shared" si="24"/>
        <v>3</v>
      </c>
      <c r="L59" s="1095">
        <f t="shared" si="24"/>
        <v>3</v>
      </c>
      <c r="M59" s="1095">
        <f t="shared" si="24"/>
        <v>3</v>
      </c>
      <c r="N59" s="970" t="s">
        <v>978</v>
      </c>
      <c r="O59" s="1017"/>
      <c r="P59" s="970" t="s">
        <v>1432</v>
      </c>
      <c r="Q59" s="970" t="s">
        <v>1415</v>
      </c>
      <c r="R59" s="970" t="s">
        <v>324</v>
      </c>
      <c r="S59" s="970" t="s">
        <v>324</v>
      </c>
      <c r="T59" s="970" t="s">
        <v>324</v>
      </c>
      <c r="U59" s="970"/>
      <c r="V59" s="970" t="s">
        <v>980</v>
      </c>
      <c r="Y59" s="84"/>
      <c r="Z59" s="84"/>
    </row>
    <row r="60" spans="1:26" ht="39.75" customHeight="1">
      <c r="A60" s="2746" t="s">
        <v>2106</v>
      </c>
      <c r="B60" s="2795" t="s">
        <v>2982</v>
      </c>
      <c r="C60" s="2752">
        <v>188711925</v>
      </c>
      <c r="D60" s="1098" t="s">
        <v>471</v>
      </c>
      <c r="E60" s="1099">
        <v>3</v>
      </c>
      <c r="F60" s="1361">
        <f t="shared" si="13"/>
        <v>0</v>
      </c>
      <c r="G60" s="1099">
        <v>3</v>
      </c>
      <c r="H60" s="1100">
        <v>3</v>
      </c>
      <c r="I60" s="1054">
        <f t="shared" si="21"/>
        <v>0</v>
      </c>
      <c r="J60" s="1051">
        <v>5</v>
      </c>
      <c r="K60" s="1053">
        <v>3</v>
      </c>
      <c r="L60" s="1053">
        <v>3</v>
      </c>
      <c r="M60" s="1053">
        <v>3</v>
      </c>
      <c r="N60" s="2694" t="s">
        <v>2341</v>
      </c>
      <c r="O60" s="2363" t="s">
        <v>2983</v>
      </c>
      <c r="P60" s="2344" t="s">
        <v>1433</v>
      </c>
      <c r="Q60" s="2344" t="s">
        <v>1737</v>
      </c>
      <c r="R60" s="2344" t="s">
        <v>393</v>
      </c>
      <c r="S60" s="2344" t="s">
        <v>393</v>
      </c>
      <c r="T60" s="2344" t="s">
        <v>393</v>
      </c>
      <c r="U60" s="2343" t="s">
        <v>393</v>
      </c>
      <c r="V60" s="2343" t="s">
        <v>357</v>
      </c>
      <c r="Y60" s="84"/>
      <c r="Z60" s="84"/>
    </row>
    <row r="61" spans="1:26" ht="87.75" customHeight="1">
      <c r="A61" s="2807"/>
      <c r="B61" s="2729"/>
      <c r="C61" s="2723"/>
      <c r="D61" s="1083" t="s">
        <v>1076</v>
      </c>
      <c r="E61" s="1057">
        <f>E60</f>
        <v>3</v>
      </c>
      <c r="F61" s="1407">
        <f t="shared" si="13"/>
        <v>0</v>
      </c>
      <c r="G61" s="1057">
        <f t="shared" ref="G61:M61" si="25">G60</f>
        <v>3</v>
      </c>
      <c r="H61" s="1059">
        <f t="shared" si="25"/>
        <v>3</v>
      </c>
      <c r="I61" s="1060">
        <f t="shared" si="21"/>
        <v>0</v>
      </c>
      <c r="J61" s="1057">
        <f t="shared" si="25"/>
        <v>5</v>
      </c>
      <c r="K61" s="1059">
        <f t="shared" si="25"/>
        <v>3</v>
      </c>
      <c r="L61" s="1059">
        <f t="shared" si="25"/>
        <v>3</v>
      </c>
      <c r="M61" s="1059">
        <f t="shared" si="25"/>
        <v>3</v>
      </c>
      <c r="N61" s="2695"/>
      <c r="O61" s="2401"/>
      <c r="P61" s="2342"/>
      <c r="Q61" s="2342"/>
      <c r="R61" s="2342"/>
      <c r="S61" s="2342"/>
      <c r="T61" s="2342"/>
      <c r="U61" s="2344"/>
      <c r="V61" s="2345"/>
      <c r="Y61" s="84"/>
      <c r="Z61" s="84"/>
    </row>
    <row r="62" spans="1:26" ht="39.75" hidden="1" customHeight="1">
      <c r="A62" s="2835" t="s">
        <v>3053</v>
      </c>
      <c r="B62" s="2841" t="s">
        <v>2981</v>
      </c>
      <c r="C62" s="2842">
        <v>188711925</v>
      </c>
      <c r="D62" s="1494" t="s">
        <v>246</v>
      </c>
      <c r="E62" s="1495">
        <v>32.26</v>
      </c>
      <c r="F62" s="1496">
        <f t="shared" si="13"/>
        <v>-0.80716057036577804</v>
      </c>
      <c r="G62" s="1495">
        <v>4.8390000000000004</v>
      </c>
      <c r="H62" s="1497">
        <v>6.2210000000000001</v>
      </c>
      <c r="I62" s="1497"/>
      <c r="J62" s="1495"/>
      <c r="K62" s="1497"/>
      <c r="L62" s="1497"/>
      <c r="M62" s="1497"/>
      <c r="N62" s="2695"/>
      <c r="O62" s="2857" t="s">
        <v>3465</v>
      </c>
      <c r="P62" s="2851" t="s">
        <v>1434</v>
      </c>
      <c r="Q62" s="1499" t="s">
        <v>1395</v>
      </c>
      <c r="R62" s="1498" t="s">
        <v>1401</v>
      </c>
      <c r="S62" s="1498"/>
      <c r="T62" s="1498"/>
      <c r="U62" s="1498"/>
      <c r="V62" s="2345"/>
      <c r="Y62" s="84"/>
      <c r="Z62" s="575"/>
    </row>
    <row r="63" spans="1:26" ht="39.75" hidden="1" customHeight="1">
      <c r="A63" s="2835"/>
      <c r="B63" s="2841"/>
      <c r="C63" s="2842"/>
      <c r="D63" s="2839" t="s">
        <v>1076</v>
      </c>
      <c r="E63" s="2837">
        <f>E62</f>
        <v>32.26</v>
      </c>
      <c r="F63" s="2861">
        <f t="shared" si="13"/>
        <v>-0.80716057036577804</v>
      </c>
      <c r="G63" s="2837">
        <f t="shared" ref="G63:L63" si="26">G62</f>
        <v>4.8390000000000004</v>
      </c>
      <c r="H63" s="2854">
        <f t="shared" si="26"/>
        <v>6.2210000000000001</v>
      </c>
      <c r="I63" s="2854"/>
      <c r="J63" s="2837"/>
      <c r="K63" s="2859">
        <f t="shared" si="26"/>
        <v>0</v>
      </c>
      <c r="L63" s="2859">
        <f t="shared" si="26"/>
        <v>0</v>
      </c>
      <c r="M63" s="2854"/>
      <c r="N63" s="2695"/>
      <c r="O63" s="2858"/>
      <c r="P63" s="2851"/>
      <c r="Q63" s="1499" t="s">
        <v>1396</v>
      </c>
      <c r="R63" s="1498" t="s">
        <v>1402</v>
      </c>
      <c r="S63" s="1498"/>
      <c r="T63" s="1498"/>
      <c r="U63" s="1498"/>
      <c r="V63" s="2345"/>
      <c r="Y63" s="84"/>
      <c r="Z63" s="84"/>
    </row>
    <row r="64" spans="1:26" ht="39.75" hidden="1" customHeight="1">
      <c r="A64" s="2835"/>
      <c r="B64" s="2841"/>
      <c r="C64" s="2842"/>
      <c r="D64" s="2840"/>
      <c r="E64" s="2838"/>
      <c r="F64" s="2862" t="e">
        <f t="shared" si="13"/>
        <v>#DIV/0!</v>
      </c>
      <c r="G64" s="2838"/>
      <c r="H64" s="2855"/>
      <c r="I64" s="2855"/>
      <c r="J64" s="2838"/>
      <c r="K64" s="2859"/>
      <c r="L64" s="2859"/>
      <c r="M64" s="2855"/>
      <c r="N64" s="2695"/>
      <c r="O64" s="2858"/>
      <c r="P64" s="2851"/>
      <c r="Q64" s="1498" t="s">
        <v>1397</v>
      </c>
      <c r="R64" s="1498" t="s">
        <v>1403</v>
      </c>
      <c r="S64" s="1498"/>
      <c r="T64" s="1498"/>
      <c r="U64" s="1498"/>
      <c r="V64" s="2345"/>
      <c r="Y64" s="84"/>
      <c r="Z64" s="84"/>
    </row>
    <row r="65" spans="1:26" ht="39.75" hidden="1" customHeight="1">
      <c r="A65" s="2835"/>
      <c r="B65" s="2841"/>
      <c r="C65" s="2842"/>
      <c r="D65" s="2840"/>
      <c r="E65" s="2838"/>
      <c r="F65" s="2862" t="e">
        <f t="shared" si="13"/>
        <v>#DIV/0!</v>
      </c>
      <c r="G65" s="2838"/>
      <c r="H65" s="2855"/>
      <c r="I65" s="2855"/>
      <c r="J65" s="2838"/>
      <c r="K65" s="2859"/>
      <c r="L65" s="2859"/>
      <c r="M65" s="2855"/>
      <c r="N65" s="2695"/>
      <c r="O65" s="2858"/>
      <c r="P65" s="2851"/>
      <c r="Q65" s="1498" t="s">
        <v>1398</v>
      </c>
      <c r="R65" s="1498" t="s">
        <v>1404</v>
      </c>
      <c r="S65" s="1498"/>
      <c r="T65" s="1498"/>
      <c r="U65" s="1498"/>
      <c r="V65" s="2345"/>
      <c r="Y65" s="84"/>
      <c r="Z65" s="84"/>
    </row>
    <row r="66" spans="1:26" ht="39.75" hidden="1" customHeight="1">
      <c r="A66" s="2835"/>
      <c r="B66" s="2841"/>
      <c r="C66" s="2842"/>
      <c r="D66" s="2840"/>
      <c r="E66" s="2838"/>
      <c r="F66" s="2862" t="e">
        <f t="shared" si="13"/>
        <v>#DIV/0!</v>
      </c>
      <c r="G66" s="2838"/>
      <c r="H66" s="2855"/>
      <c r="I66" s="2855"/>
      <c r="J66" s="2838"/>
      <c r="K66" s="2859"/>
      <c r="L66" s="2859"/>
      <c r="M66" s="2855"/>
      <c r="N66" s="2695"/>
      <c r="O66" s="2858"/>
      <c r="P66" s="2851"/>
      <c r="Q66" s="1498" t="s">
        <v>1399</v>
      </c>
      <c r="R66" s="1498" t="s">
        <v>1405</v>
      </c>
      <c r="S66" s="1498"/>
      <c r="T66" s="1498"/>
      <c r="U66" s="1498"/>
      <c r="V66" s="2345"/>
      <c r="Y66" s="84"/>
      <c r="Z66" s="84"/>
    </row>
    <row r="67" spans="1:26" ht="39.75" hidden="1" customHeight="1">
      <c r="A67" s="2835"/>
      <c r="B67" s="2841"/>
      <c r="C67" s="2843"/>
      <c r="D67" s="2840"/>
      <c r="E67" s="2838"/>
      <c r="F67" s="2862" t="e">
        <f t="shared" si="13"/>
        <v>#DIV/0!</v>
      </c>
      <c r="G67" s="2838"/>
      <c r="H67" s="2855"/>
      <c r="I67" s="2855"/>
      <c r="J67" s="2838"/>
      <c r="K67" s="2854"/>
      <c r="L67" s="2854"/>
      <c r="M67" s="2855"/>
      <c r="N67" s="2695"/>
      <c r="O67" s="2858"/>
      <c r="P67" s="2852"/>
      <c r="Q67" s="1501" t="s">
        <v>1400</v>
      </c>
      <c r="R67" s="1501" t="s">
        <v>1406</v>
      </c>
      <c r="S67" s="1501"/>
      <c r="T67" s="1501"/>
      <c r="U67" s="1501"/>
      <c r="V67" s="2345"/>
      <c r="Y67" s="84"/>
      <c r="Z67" s="84"/>
    </row>
    <row r="68" spans="1:26" ht="39.75" customHeight="1">
      <c r="A68" s="2844" t="s">
        <v>3682</v>
      </c>
      <c r="B68" s="2860" t="s">
        <v>4153</v>
      </c>
      <c r="C68" s="2393" t="s">
        <v>3275</v>
      </c>
      <c r="D68" s="1098" t="s">
        <v>48</v>
      </c>
      <c r="E68" s="1502"/>
      <c r="F68" s="1502"/>
      <c r="G68" s="1503"/>
      <c r="H68" s="1502"/>
      <c r="I68" s="1502"/>
      <c r="J68" s="1051">
        <v>3</v>
      </c>
      <c r="K68" s="1502"/>
      <c r="L68" s="1502"/>
      <c r="M68" s="1502"/>
      <c r="N68" s="2695"/>
      <c r="O68" s="2395" t="s">
        <v>3684</v>
      </c>
      <c r="P68" s="2342" t="s">
        <v>3526</v>
      </c>
      <c r="Q68" s="2342" t="s">
        <v>3527</v>
      </c>
      <c r="R68" s="1502"/>
      <c r="S68" s="2342" t="s">
        <v>324</v>
      </c>
      <c r="T68" s="2342" t="s">
        <v>324</v>
      </c>
      <c r="U68" s="2342" t="s">
        <v>324</v>
      </c>
      <c r="V68" s="2345"/>
      <c r="Y68" s="84"/>
      <c r="Z68" s="84"/>
    </row>
    <row r="69" spans="1:26" ht="39.75" customHeight="1">
      <c r="A69" s="2844"/>
      <c r="B69" s="2860"/>
      <c r="C69" s="2413"/>
      <c r="D69" s="952" t="s">
        <v>2928</v>
      </c>
      <c r="E69" s="1502"/>
      <c r="F69" s="1502"/>
      <c r="G69" s="1503"/>
      <c r="H69" s="1502"/>
      <c r="I69" s="1502"/>
      <c r="J69" s="1504"/>
      <c r="K69" s="1502"/>
      <c r="L69" s="1502"/>
      <c r="M69" s="1502"/>
      <c r="N69" s="2695"/>
      <c r="O69" s="2395"/>
      <c r="P69" s="2342"/>
      <c r="Q69" s="2342"/>
      <c r="R69" s="1502"/>
      <c r="S69" s="2342"/>
      <c r="T69" s="2342"/>
      <c r="U69" s="2342"/>
      <c r="V69" s="2345"/>
      <c r="Y69" s="84"/>
      <c r="Z69" s="84"/>
    </row>
    <row r="70" spans="1:26" ht="39.75" customHeight="1">
      <c r="A70" s="2844"/>
      <c r="B70" s="2860"/>
      <c r="C70" s="2413"/>
      <c r="D70" s="1035" t="s">
        <v>246</v>
      </c>
      <c r="E70" s="1051">
        <v>32.26</v>
      </c>
      <c r="F70" s="1424">
        <f t="shared" ref="F70:F71" si="27">H70/E70-1</f>
        <v>-1</v>
      </c>
      <c r="G70" s="1051">
        <v>4.8390000000000004</v>
      </c>
      <c r="H70" s="1051"/>
      <c r="I70" s="1054"/>
      <c r="J70" s="1051">
        <v>28.74</v>
      </c>
      <c r="K70" s="1053">
        <v>28.74</v>
      </c>
      <c r="L70" s="1053">
        <v>28.74</v>
      </c>
      <c r="M70" s="1053">
        <v>28.74</v>
      </c>
      <c r="N70" s="2695"/>
      <c r="O70" s="2395"/>
      <c r="P70" s="2342"/>
      <c r="Q70" s="2342"/>
      <c r="R70" s="2856" t="s">
        <v>324</v>
      </c>
      <c r="S70" s="2342"/>
      <c r="T70" s="2342"/>
      <c r="U70" s="2342"/>
      <c r="V70" s="2345"/>
      <c r="Y70" s="84"/>
      <c r="Z70" s="575"/>
    </row>
    <row r="71" spans="1:26" ht="39.75" customHeight="1">
      <c r="A71" s="2844"/>
      <c r="B71" s="2860"/>
      <c r="C71" s="2442"/>
      <c r="D71" s="1056" t="s">
        <v>1076</v>
      </c>
      <c r="E71" s="1057">
        <f>E70</f>
        <v>32.26</v>
      </c>
      <c r="F71" s="1407">
        <f t="shared" si="27"/>
        <v>-1</v>
      </c>
      <c r="G71" s="1057">
        <f t="shared" ref="G71" si="28">G70</f>
        <v>4.8390000000000004</v>
      </c>
      <c r="H71" s="1057"/>
      <c r="I71" s="1060"/>
      <c r="J71" s="1059">
        <f>J70</f>
        <v>28.74</v>
      </c>
      <c r="K71" s="1059">
        <f t="shared" ref="K71:M71" si="29">K70</f>
        <v>28.74</v>
      </c>
      <c r="L71" s="1059">
        <f t="shared" si="29"/>
        <v>28.74</v>
      </c>
      <c r="M71" s="1059">
        <f t="shared" si="29"/>
        <v>28.74</v>
      </c>
      <c r="N71" s="2696"/>
      <c r="O71" s="2395"/>
      <c r="P71" s="2342"/>
      <c r="Q71" s="2342"/>
      <c r="R71" s="2856"/>
      <c r="S71" s="2342"/>
      <c r="T71" s="2342"/>
      <c r="U71" s="2342"/>
      <c r="V71" s="2344"/>
      <c r="Y71" s="84"/>
      <c r="Z71" s="84"/>
    </row>
    <row r="72" spans="1:26" ht="61.5" customHeight="1">
      <c r="A72" s="1017" t="s">
        <v>2107</v>
      </c>
      <c r="B72" s="954" t="s">
        <v>2108</v>
      </c>
      <c r="C72" s="1017"/>
      <c r="D72" s="1017"/>
      <c r="E72" s="1094">
        <f>SUM(E74)</f>
        <v>0</v>
      </c>
      <c r="F72" s="1368"/>
      <c r="G72" s="1094">
        <f t="shared" ref="G72:M72" si="30">SUM(G74)</f>
        <v>1.5</v>
      </c>
      <c r="H72" s="1095">
        <f t="shared" si="30"/>
        <v>1.5</v>
      </c>
      <c r="I72" s="1096">
        <f>K72/H72-1</f>
        <v>0</v>
      </c>
      <c r="J72" s="1094">
        <f t="shared" si="30"/>
        <v>8.5</v>
      </c>
      <c r="K72" s="1095">
        <f t="shared" si="30"/>
        <v>1.5</v>
      </c>
      <c r="L72" s="1095">
        <f t="shared" si="30"/>
        <v>1.5</v>
      </c>
      <c r="M72" s="1095">
        <f t="shared" si="30"/>
        <v>1.5</v>
      </c>
      <c r="N72" s="1095" t="s">
        <v>963</v>
      </c>
      <c r="O72" s="1017"/>
      <c r="P72" s="970" t="s">
        <v>3054</v>
      </c>
      <c r="Q72" s="970" t="s">
        <v>2342</v>
      </c>
      <c r="R72" s="970" t="s">
        <v>434</v>
      </c>
      <c r="S72" s="970" t="s">
        <v>324</v>
      </c>
      <c r="T72" s="970" t="s">
        <v>324</v>
      </c>
      <c r="U72" s="970" t="s">
        <v>324</v>
      </c>
      <c r="V72" s="970" t="s">
        <v>965</v>
      </c>
      <c r="Y72" s="84"/>
      <c r="Z72" s="84"/>
    </row>
    <row r="73" spans="1:26" ht="39.75" customHeight="1">
      <c r="A73" s="2746" t="s">
        <v>2441</v>
      </c>
      <c r="B73" s="2795" t="s">
        <v>2867</v>
      </c>
      <c r="C73" s="2752">
        <v>188711925</v>
      </c>
      <c r="D73" s="1098" t="s">
        <v>471</v>
      </c>
      <c r="E73" s="1099">
        <v>0</v>
      </c>
      <c r="F73" s="1361"/>
      <c r="G73" s="1099">
        <v>1.5</v>
      </c>
      <c r="H73" s="1100">
        <v>1.5</v>
      </c>
      <c r="I73" s="1054">
        <f>K73/H73-1</f>
        <v>0</v>
      </c>
      <c r="J73" s="1051">
        <v>8.5</v>
      </c>
      <c r="K73" s="1053">
        <v>1.5</v>
      </c>
      <c r="L73" s="1053">
        <v>1.5</v>
      </c>
      <c r="M73" s="1053">
        <v>1.5</v>
      </c>
      <c r="N73" s="2850" t="s">
        <v>2343</v>
      </c>
      <c r="O73" s="2395" t="s">
        <v>3683</v>
      </c>
      <c r="P73" s="2342" t="s">
        <v>3055</v>
      </c>
      <c r="Q73" s="2342" t="s">
        <v>1414</v>
      </c>
      <c r="R73" s="2342" t="s">
        <v>433</v>
      </c>
      <c r="S73" s="2342" t="s">
        <v>324</v>
      </c>
      <c r="T73" s="2342" t="s">
        <v>324</v>
      </c>
      <c r="U73" s="2342" t="s">
        <v>324</v>
      </c>
      <c r="V73" s="2342" t="s">
        <v>2344</v>
      </c>
      <c r="W73" s="91" t="s">
        <v>2866</v>
      </c>
      <c r="Y73" s="84"/>
      <c r="Z73" s="84"/>
    </row>
    <row r="74" spans="1:26" ht="49.5" customHeight="1">
      <c r="A74" s="2807"/>
      <c r="B74" s="2729"/>
      <c r="C74" s="2723"/>
      <c r="D74" s="1083" t="s">
        <v>1076</v>
      </c>
      <c r="E74" s="1057">
        <f>E73</f>
        <v>0</v>
      </c>
      <c r="F74" s="1407"/>
      <c r="G74" s="1057">
        <f t="shared" ref="G74:M74" si="31">G73</f>
        <v>1.5</v>
      </c>
      <c r="H74" s="1059">
        <f t="shared" si="31"/>
        <v>1.5</v>
      </c>
      <c r="I74" s="1060">
        <f>K74/H74-1</f>
        <v>0</v>
      </c>
      <c r="J74" s="1057">
        <f t="shared" si="31"/>
        <v>8.5</v>
      </c>
      <c r="K74" s="1059">
        <f t="shared" si="31"/>
        <v>1.5</v>
      </c>
      <c r="L74" s="1059">
        <f t="shared" si="31"/>
        <v>1.5</v>
      </c>
      <c r="M74" s="1059">
        <f t="shared" si="31"/>
        <v>1.5</v>
      </c>
      <c r="N74" s="2850"/>
      <c r="O74" s="2396"/>
      <c r="P74" s="2342"/>
      <c r="Q74" s="2342"/>
      <c r="R74" s="2342"/>
      <c r="S74" s="2342"/>
      <c r="T74" s="2342"/>
      <c r="U74" s="2342"/>
      <c r="V74" s="2342"/>
      <c r="Y74" s="84"/>
      <c r="Z74" s="84"/>
    </row>
    <row r="75" spans="1:26" s="87" customFormat="1" ht="39.75" hidden="1" customHeight="1">
      <c r="A75" s="283"/>
      <c r="B75" s="497" t="s">
        <v>3228</v>
      </c>
      <c r="C75" s="212"/>
      <c r="D75" s="498"/>
      <c r="E75" s="211"/>
      <c r="F75" s="487"/>
      <c r="G75" s="487">
        <v>3</v>
      </c>
      <c r="H75" s="499"/>
      <c r="I75" s="499"/>
      <c r="J75" s="499">
        <v>7</v>
      </c>
      <c r="K75" s="487"/>
      <c r="L75" s="641"/>
      <c r="M75" s="693"/>
      <c r="N75" s="694"/>
      <c r="O75" s="694"/>
      <c r="P75" s="694"/>
      <c r="Q75" s="694"/>
      <c r="R75" s="694"/>
      <c r="S75" s="695"/>
      <c r="T75" s="695"/>
    </row>
    <row r="76" spans="1:26" ht="60" customHeight="1">
      <c r="A76" s="2829"/>
      <c r="B76" s="2829"/>
      <c r="C76" s="2829"/>
      <c r="D76" s="2829"/>
      <c r="E76" s="257" t="s">
        <v>1091</v>
      </c>
      <c r="F76" s="257"/>
      <c r="G76" s="257" t="str">
        <f>G15</f>
        <v>2024  m. išlaidų projektas (lėšų poreikis), tūkst. Eur</v>
      </c>
      <c r="H76" s="186" t="str">
        <f>H15</f>
        <v>2024  m.asignavimai ir kitos lėšos, tūkst. Eur</v>
      </c>
      <c r="I76" s="186" t="s">
        <v>3099</v>
      </c>
      <c r="J76" s="572" t="s">
        <v>3100</v>
      </c>
      <c r="K76" s="186" t="str">
        <f>K15</f>
        <v>2025 m. asignavimai ir kitos lėšos, tūkst. Eur</v>
      </c>
      <c r="L76" s="186" t="str">
        <f>L15</f>
        <v>2026 m. asignavimai ir kitos lėšos, tūkst. Eur</v>
      </c>
      <c r="M76" s="186" t="s">
        <v>3097</v>
      </c>
      <c r="N76" s="2853"/>
      <c r="O76" s="2853"/>
      <c r="P76" s="89"/>
      <c r="Q76" s="89"/>
      <c r="R76" s="208"/>
      <c r="S76" s="208"/>
      <c r="T76" s="208"/>
      <c r="U76" s="208"/>
      <c r="V76" s="89"/>
      <c r="Y76" s="84"/>
      <c r="Z76" s="84"/>
    </row>
    <row r="77" spans="1:26" ht="27.75" customHeight="1">
      <c r="A77" s="2830"/>
      <c r="B77" s="2847" t="s">
        <v>722</v>
      </c>
      <c r="C77" s="2847"/>
      <c r="D77" s="2847"/>
      <c r="E77" s="258">
        <f>E78+E79+E80+E81+E82+E83</f>
        <v>300.09199999999998</v>
      </c>
      <c r="F77" s="261">
        <f t="shared" si="13"/>
        <v>0.10618077123015612</v>
      </c>
      <c r="G77" s="258">
        <f t="shared" ref="G77" si="32">SUM(G78,G79,G80,G81,G82,G83,)</f>
        <v>430.05900000000003</v>
      </c>
      <c r="H77" s="171">
        <f>SUM(H78,H79,H80,H81,H82,H83,)</f>
        <v>331.95600000000002</v>
      </c>
      <c r="I77" s="689">
        <f t="shared" ref="I77:I86" si="33">K77/H77-1</f>
        <v>1.015402643723867</v>
      </c>
      <c r="J77" s="258">
        <f t="shared" ref="J77:M77" si="34">SUM(J78,J79,J80,J81,J82,J83,)</f>
        <v>792</v>
      </c>
      <c r="K77" s="171">
        <f t="shared" si="34"/>
        <v>669.02500000000009</v>
      </c>
      <c r="L77" s="168">
        <f t="shared" si="34"/>
        <v>616.57600000000002</v>
      </c>
      <c r="M77" s="168">
        <f t="shared" si="34"/>
        <v>393.31600000000003</v>
      </c>
      <c r="N77" s="197"/>
      <c r="O77" s="175"/>
      <c r="P77" s="175"/>
      <c r="Q77" s="175"/>
      <c r="R77" s="199"/>
      <c r="S77" s="199"/>
      <c r="T77" s="199"/>
      <c r="U77" s="199"/>
      <c r="V77" s="175"/>
      <c r="Y77" s="84"/>
      <c r="Z77" s="84"/>
    </row>
    <row r="78" spans="1:26" ht="39.75" customHeight="1">
      <c r="A78" s="2831"/>
      <c r="B78" s="2846" t="s">
        <v>2027</v>
      </c>
      <c r="C78" s="2846"/>
      <c r="D78" s="2846"/>
      <c r="E78" s="256">
        <f>SUM(E18,E21,E28,E31,E33,E38,E40,E42,E44,E47,E49,E55,E57,E60,)</f>
        <v>253.3</v>
      </c>
      <c r="F78" s="261">
        <f t="shared" si="13"/>
        <v>0.19115673114883536</v>
      </c>
      <c r="G78" s="256">
        <f>SUM(G18,G21,G28,G31,G33,G38,G40,G42,G44,G47,G49,G55,G57,G60,)</f>
        <v>410.22</v>
      </c>
      <c r="H78" s="172">
        <f>SUM(H18,H21,H28,H33,H38,H40,H42,H44,H47,H49,H55,H57,H60,H35,H73)</f>
        <v>301.72000000000003</v>
      </c>
      <c r="I78" s="690">
        <f t="shared" si="33"/>
        <v>1.0762959034866761</v>
      </c>
      <c r="J78" s="256">
        <f>SUM(J18,J21,J28,J33,J38,J40,J42,J44,J47,J49,J55,J57,J60,J35,J73,J31,)</f>
        <v>749.26</v>
      </c>
      <c r="K78" s="172">
        <f>SUM(K18,K21,K28,K33,K38,K40,K42,K44,K47,K49,K55,K57,K60,K35,K73,K31,K68,)</f>
        <v>626.46</v>
      </c>
      <c r="L78" s="172">
        <f t="shared" ref="L78:M78" si="35">SUM(L18,L21,L28,L33,L38,L40,L42,L44,L47,L49,L55,L57,L60,L35,L73,L31,L68,)</f>
        <v>574.01099999999997</v>
      </c>
      <c r="M78" s="172">
        <f t="shared" si="35"/>
        <v>350.75100000000003</v>
      </c>
      <c r="N78" s="198"/>
      <c r="O78" s="216"/>
      <c r="P78" s="175"/>
      <c r="Q78" s="175"/>
      <c r="R78" s="199"/>
      <c r="S78" s="199"/>
      <c r="T78" s="199"/>
      <c r="U78" s="199"/>
      <c r="V78" s="175"/>
      <c r="Y78" s="84"/>
      <c r="Z78" s="84"/>
    </row>
    <row r="79" spans="1:26" ht="30" customHeight="1">
      <c r="A79" s="2831"/>
      <c r="B79" s="2846" t="s">
        <v>724</v>
      </c>
      <c r="C79" s="2846"/>
      <c r="D79" s="2846"/>
      <c r="E79" s="256">
        <f>SUM(E23)</f>
        <v>14.532</v>
      </c>
      <c r="F79" s="261">
        <f t="shared" si="13"/>
        <v>-3.557665840902835E-2</v>
      </c>
      <c r="G79" s="256">
        <f>SUM(G23,)</f>
        <v>15</v>
      </c>
      <c r="H79" s="172">
        <f>SUM(H23)</f>
        <v>14.015000000000001</v>
      </c>
      <c r="I79" s="690">
        <f t="shared" si="33"/>
        <v>-1.3556903317873847E-2</v>
      </c>
      <c r="J79" s="256">
        <f>SUM(J23)</f>
        <v>14</v>
      </c>
      <c r="K79" s="172">
        <f>SUM(K23)</f>
        <v>13.824999999999999</v>
      </c>
      <c r="L79" s="172">
        <f>SUM(L23)</f>
        <v>13.824999999999999</v>
      </c>
      <c r="M79" s="172">
        <f>SUM(M23)</f>
        <v>13.824999999999999</v>
      </c>
      <c r="N79" s="198"/>
      <c r="O79" s="175"/>
      <c r="P79" s="175"/>
      <c r="Q79" s="175"/>
      <c r="R79" s="199"/>
      <c r="S79" s="199"/>
      <c r="T79" s="199"/>
      <c r="U79" s="199"/>
      <c r="V79" s="175"/>
      <c r="Y79" s="84"/>
      <c r="Z79" s="84"/>
    </row>
    <row r="80" spans="1:26" ht="27.75" customHeight="1">
      <c r="A80" s="2831"/>
      <c r="B80" s="2846" t="s">
        <v>725</v>
      </c>
      <c r="C80" s="2846"/>
      <c r="D80" s="2846"/>
      <c r="E80" s="256">
        <v>0</v>
      </c>
      <c r="F80" s="261"/>
      <c r="G80" s="256">
        <v>0</v>
      </c>
      <c r="H80" s="172">
        <v>0</v>
      </c>
      <c r="I80" s="690" t="e">
        <f t="shared" si="33"/>
        <v>#DIV/0!</v>
      </c>
      <c r="J80" s="256">
        <v>0</v>
      </c>
      <c r="K80" s="172">
        <v>0</v>
      </c>
      <c r="L80" s="172">
        <v>0</v>
      </c>
      <c r="M80" s="172">
        <v>0</v>
      </c>
      <c r="N80" s="198"/>
      <c r="O80" s="175"/>
      <c r="P80" s="175"/>
      <c r="Q80" s="175"/>
      <c r="R80" s="199"/>
      <c r="S80" s="199"/>
      <c r="T80" s="199"/>
      <c r="U80" s="199"/>
      <c r="V80" s="175"/>
      <c r="Y80" s="84"/>
      <c r="Z80" s="84"/>
    </row>
    <row r="81" spans="1:26" ht="30.75" customHeight="1">
      <c r="A81" s="2831"/>
      <c r="B81" s="2848" t="s">
        <v>2861</v>
      </c>
      <c r="C81" s="2848"/>
      <c r="D81" s="2848"/>
      <c r="E81" s="256">
        <f>SUM(E62)</f>
        <v>32.26</v>
      </c>
      <c r="F81" s="261">
        <f t="shared" si="13"/>
        <v>-0.80716057036577804</v>
      </c>
      <c r="G81" s="256">
        <f>SUM(G62)</f>
        <v>4.8390000000000004</v>
      </c>
      <c r="H81" s="172">
        <f>SUM(H62)</f>
        <v>6.2210000000000001</v>
      </c>
      <c r="I81" s="690">
        <f t="shared" si="33"/>
        <v>3.6198360392219895</v>
      </c>
      <c r="J81" s="256">
        <f>SUM(J70)</f>
        <v>28.74</v>
      </c>
      <c r="K81" s="172">
        <f>SUM(K70,)</f>
        <v>28.74</v>
      </c>
      <c r="L81" s="172">
        <f t="shared" ref="L81:M81" si="36">SUM(L70,)</f>
        <v>28.74</v>
      </c>
      <c r="M81" s="172">
        <f t="shared" si="36"/>
        <v>28.74</v>
      </c>
      <c r="N81" s="198"/>
      <c r="O81" s="175"/>
      <c r="P81" s="175"/>
      <c r="Q81" s="175"/>
      <c r="R81" s="199"/>
      <c r="S81" s="199"/>
      <c r="T81" s="199"/>
      <c r="U81" s="199"/>
      <c r="V81" s="175"/>
      <c r="Y81" s="84"/>
      <c r="Z81" s="84"/>
    </row>
    <row r="82" spans="1:26" ht="30" customHeight="1">
      <c r="A82" s="2831"/>
      <c r="B82" s="2846" t="s">
        <v>726</v>
      </c>
      <c r="C82" s="2846"/>
      <c r="D82" s="2846"/>
      <c r="E82" s="256">
        <v>0</v>
      </c>
      <c r="F82" s="219"/>
      <c r="G82" s="256">
        <v>0</v>
      </c>
      <c r="H82" s="172">
        <v>0</v>
      </c>
      <c r="I82" s="690" t="e">
        <f t="shared" si="33"/>
        <v>#DIV/0!</v>
      </c>
      <c r="J82" s="256">
        <v>0</v>
      </c>
      <c r="K82" s="172">
        <v>0</v>
      </c>
      <c r="L82" s="172">
        <v>0</v>
      </c>
      <c r="M82" s="172">
        <v>0</v>
      </c>
      <c r="N82" s="198"/>
      <c r="O82" s="175"/>
      <c r="P82" s="175"/>
      <c r="Q82" s="175"/>
      <c r="R82" s="199"/>
      <c r="S82" s="199"/>
      <c r="T82" s="199"/>
      <c r="U82" s="199"/>
      <c r="V82" s="175"/>
      <c r="Y82" s="84"/>
      <c r="Z82" s="84"/>
    </row>
    <row r="83" spans="1:26" ht="29.25" customHeight="1">
      <c r="A83" s="2831"/>
      <c r="B83" s="2846" t="s">
        <v>727</v>
      </c>
      <c r="C83" s="2846"/>
      <c r="D83" s="2846"/>
      <c r="E83" s="256">
        <v>0</v>
      </c>
      <c r="F83" s="219"/>
      <c r="G83" s="256">
        <v>0</v>
      </c>
      <c r="H83" s="172">
        <f>SUM(H31,H19,H22)</f>
        <v>10</v>
      </c>
      <c r="I83" s="690">
        <f t="shared" si="33"/>
        <v>-1</v>
      </c>
      <c r="J83" s="256">
        <f>SUM(J30,J22,J19,)</f>
        <v>0</v>
      </c>
      <c r="K83" s="172">
        <f>K69</f>
        <v>0</v>
      </c>
      <c r="L83" s="172">
        <f t="shared" ref="L83:M83" si="37">L69</f>
        <v>0</v>
      </c>
      <c r="M83" s="172">
        <f t="shared" si="37"/>
        <v>0</v>
      </c>
      <c r="N83" s="198"/>
      <c r="O83" s="175"/>
      <c r="P83" s="175"/>
      <c r="Q83" s="175"/>
      <c r="R83" s="199"/>
      <c r="S83" s="199"/>
      <c r="T83" s="199"/>
      <c r="U83" s="199"/>
      <c r="V83" s="175"/>
      <c r="Y83" s="84"/>
      <c r="Z83" s="84"/>
    </row>
    <row r="84" spans="1:26" ht="39.75" customHeight="1">
      <c r="A84" s="2831"/>
      <c r="B84" s="2847" t="s">
        <v>728</v>
      </c>
      <c r="C84" s="2847"/>
      <c r="D84" s="2847"/>
      <c r="E84" s="259">
        <v>0</v>
      </c>
      <c r="F84" s="262"/>
      <c r="G84" s="259">
        <v>0</v>
      </c>
      <c r="H84" s="200">
        <v>0</v>
      </c>
      <c r="I84" s="691" t="e">
        <f t="shared" si="33"/>
        <v>#DIV/0!</v>
      </c>
      <c r="J84" s="259">
        <v>0</v>
      </c>
      <c r="K84" s="200">
        <v>0</v>
      </c>
      <c r="L84" s="200">
        <v>0</v>
      </c>
      <c r="M84" s="200">
        <v>0</v>
      </c>
      <c r="N84" s="198"/>
      <c r="O84" s="175"/>
      <c r="P84" s="175"/>
      <c r="Q84" s="175"/>
      <c r="R84" s="199"/>
      <c r="S84" s="199"/>
      <c r="T84" s="199"/>
      <c r="U84" s="199"/>
      <c r="V84" s="175"/>
      <c r="Y84" s="84"/>
      <c r="Z84" s="84"/>
    </row>
    <row r="85" spans="1:26" ht="39.75" customHeight="1">
      <c r="A85" s="2831"/>
      <c r="B85" s="2847" t="s">
        <v>1092</v>
      </c>
      <c r="C85" s="2847"/>
      <c r="D85" s="2847"/>
      <c r="E85" s="260">
        <f>SUM(E77,E84)</f>
        <v>300.09199999999998</v>
      </c>
      <c r="F85" s="263">
        <f t="shared" si="13"/>
        <v>0.10618077123015612</v>
      </c>
      <c r="G85" s="260">
        <f t="shared" ref="G85" si="38">SUM(G77,G84)</f>
        <v>430.05900000000003</v>
      </c>
      <c r="H85" s="168">
        <f>SUM(H77,H84)</f>
        <v>331.95600000000002</v>
      </c>
      <c r="I85" s="692">
        <f t="shared" si="33"/>
        <v>1.015402643723867</v>
      </c>
      <c r="J85" s="260">
        <f>SUM(J77,J84)</f>
        <v>792</v>
      </c>
      <c r="K85" s="168">
        <f>SUM(K77,K84)</f>
        <v>669.02500000000009</v>
      </c>
      <c r="L85" s="168">
        <f>SUM(L77,L84)</f>
        <v>616.57600000000002</v>
      </c>
      <c r="M85" s="168">
        <f t="shared" ref="M85" si="39">SUM(M77,M84)</f>
        <v>393.31600000000003</v>
      </c>
      <c r="N85" s="197"/>
      <c r="O85" s="175"/>
      <c r="P85" s="175"/>
      <c r="Q85" s="175"/>
      <c r="R85" s="199"/>
      <c r="S85" s="199"/>
      <c r="T85" s="199"/>
      <c r="U85" s="199"/>
      <c r="V85" s="175"/>
      <c r="Y85" s="84"/>
      <c r="Z85" s="84"/>
    </row>
    <row r="86" spans="1:26" ht="28.5" customHeight="1">
      <c r="A86" s="2831"/>
      <c r="B86" s="2847" t="s">
        <v>2028</v>
      </c>
      <c r="C86" s="2847"/>
      <c r="D86" s="2847"/>
      <c r="E86" s="258">
        <v>0</v>
      </c>
      <c r="F86" s="217"/>
      <c r="G86" s="258">
        <v>0</v>
      </c>
      <c r="H86" s="171">
        <v>0</v>
      </c>
      <c r="I86" s="689" t="e">
        <f t="shared" si="33"/>
        <v>#DIV/0!</v>
      </c>
      <c r="J86" s="258">
        <v>0</v>
      </c>
      <c r="K86" s="171">
        <v>0</v>
      </c>
      <c r="L86" s="171">
        <v>0</v>
      </c>
      <c r="M86" s="171">
        <v>0</v>
      </c>
      <c r="N86" s="197"/>
      <c r="O86" s="175"/>
      <c r="P86" s="175"/>
      <c r="Q86" s="175"/>
      <c r="R86" s="199"/>
      <c r="S86" s="199"/>
      <c r="T86" s="199"/>
      <c r="U86" s="199"/>
      <c r="V86" s="175"/>
      <c r="Y86" s="84"/>
      <c r="Z86" s="84"/>
    </row>
    <row r="87" spans="1:26" ht="39.75" customHeight="1">
      <c r="A87" s="2832"/>
      <c r="B87" s="2847" t="s">
        <v>729</v>
      </c>
      <c r="C87" s="2847"/>
      <c r="D87" s="2847"/>
      <c r="E87" s="258">
        <v>0</v>
      </c>
      <c r="F87" s="217"/>
      <c r="G87" s="258">
        <v>0</v>
      </c>
      <c r="H87" s="635">
        <f>H85/E85-1</f>
        <v>0.10618077123015612</v>
      </c>
      <c r="I87" s="635"/>
      <c r="J87" s="636">
        <f>J85/H85-1</f>
        <v>1.3858583667714997</v>
      </c>
      <c r="K87" s="635">
        <f>K85/H85-1</f>
        <v>1.015402643723867</v>
      </c>
      <c r="L87" s="637">
        <f>L85/K85-1</f>
        <v>-7.8396173536116054E-2</v>
      </c>
      <c r="M87" s="629">
        <f>M85/L85-1</f>
        <v>-0.36209648121237281</v>
      </c>
      <c r="N87" s="197"/>
      <c r="O87" s="175"/>
      <c r="P87" s="175"/>
      <c r="Q87" s="175"/>
      <c r="R87" s="199"/>
      <c r="S87" s="199"/>
      <c r="T87" s="199"/>
      <c r="U87" s="199"/>
      <c r="V87" s="175"/>
      <c r="Y87" s="84"/>
      <c r="Z87" s="84"/>
    </row>
    <row r="88" spans="1:26" ht="39.75" customHeight="1">
      <c r="E88" s="84"/>
      <c r="F88" s="84"/>
      <c r="Y88" s="84"/>
      <c r="Z88" s="84"/>
    </row>
    <row r="89" spans="1:26" ht="39.75" hidden="1" customHeight="1">
      <c r="E89" s="84"/>
      <c r="F89" s="84"/>
      <c r="J89" s="91" t="s">
        <v>4065</v>
      </c>
      <c r="K89" s="113">
        <v>626.46</v>
      </c>
      <c r="Y89" s="84"/>
      <c r="Z89" s="84"/>
    </row>
    <row r="90" spans="1:26" ht="39.75" customHeight="1">
      <c r="A90" s="2845"/>
      <c r="B90" s="2845"/>
      <c r="C90" s="89"/>
      <c r="D90" s="123"/>
      <c r="E90" s="123"/>
      <c r="F90" s="123"/>
      <c r="G90" s="123"/>
      <c r="H90" s="123">
        <v>400.45</v>
      </c>
      <c r="I90" s="123"/>
      <c r="J90" s="573"/>
      <c r="K90" s="123"/>
      <c r="L90" s="123"/>
      <c r="M90" s="123"/>
      <c r="N90" s="124"/>
      <c r="Y90" s="84"/>
      <c r="Z90" s="84"/>
    </row>
    <row r="91" spans="1:26" ht="39.75" customHeight="1">
      <c r="E91" s="84"/>
      <c r="F91" s="84"/>
      <c r="H91" s="113">
        <f>H90-H78-H83</f>
        <v>88.729999999999961</v>
      </c>
      <c r="I91" s="113"/>
      <c r="J91" s="574"/>
      <c r="Y91" s="84"/>
      <c r="Z91" s="84"/>
    </row>
    <row r="92" spans="1:26" ht="39.75" customHeight="1">
      <c r="E92" s="84"/>
      <c r="F92" s="84"/>
      <c r="Y92" s="84"/>
      <c r="Z92" s="84"/>
    </row>
    <row r="93" spans="1:26" ht="39.75" customHeight="1">
      <c r="E93" s="84"/>
      <c r="F93" s="84"/>
      <c r="Y93" s="84"/>
      <c r="Z93" s="84"/>
    </row>
    <row r="94" spans="1:26" ht="39.75" hidden="1" customHeight="1">
      <c r="E94" s="84"/>
      <c r="F94" s="84"/>
      <c r="K94" s="113">
        <f>K89-K78</f>
        <v>0</v>
      </c>
      <c r="Y94" s="84"/>
      <c r="Z94" s="84"/>
    </row>
    <row r="95" spans="1:26" ht="39.75" hidden="1" customHeight="1">
      <c r="E95" s="84"/>
      <c r="F95" s="84"/>
      <c r="G95" s="113"/>
      <c r="Y95" s="84"/>
      <c r="Z95" s="84"/>
    </row>
    <row r="96" spans="1:26" ht="39.75" hidden="1" customHeight="1">
      <c r="E96" s="84"/>
      <c r="F96" s="84"/>
      <c r="G96" s="113"/>
      <c r="Y96" s="84"/>
      <c r="Z96" s="84"/>
    </row>
    <row r="97" spans="5:26" ht="39.75" hidden="1" customHeight="1">
      <c r="E97" s="84"/>
      <c r="F97" s="84"/>
      <c r="G97" s="113"/>
      <c r="K97" s="1217">
        <v>650.28499999999997</v>
      </c>
      <c r="L97" s="1217">
        <v>616.57600000000002</v>
      </c>
      <c r="M97" s="1217">
        <v>393.31599999999997</v>
      </c>
      <c r="Y97" s="84"/>
      <c r="Z97" s="84"/>
    </row>
    <row r="98" spans="5:26" ht="39.75" hidden="1" customHeight="1">
      <c r="E98" s="84"/>
      <c r="F98" s="84"/>
      <c r="G98" s="113"/>
      <c r="K98" s="1218">
        <f>K97-K85</f>
        <v>-18.740000000000123</v>
      </c>
      <c r="L98" s="1218">
        <f>L85-L97</f>
        <v>0</v>
      </c>
      <c r="M98" s="1218">
        <f>M85-M97</f>
        <v>0</v>
      </c>
      <c r="Y98" s="84"/>
      <c r="Z98" s="84"/>
    </row>
    <row r="99" spans="5:26" ht="39.75" hidden="1" customHeight="1">
      <c r="E99" s="84"/>
      <c r="F99" s="84"/>
      <c r="Y99" s="84"/>
      <c r="Z99" s="84"/>
    </row>
    <row r="100" spans="5:26" ht="39.75" hidden="1" customHeight="1">
      <c r="E100" s="84"/>
      <c r="F100" s="84"/>
      <c r="Y100" s="84"/>
      <c r="Z100" s="84"/>
    </row>
    <row r="101" spans="5:26" ht="39.75" hidden="1" customHeight="1">
      <c r="E101" s="84"/>
      <c r="F101" s="84"/>
      <c r="Y101" s="84"/>
      <c r="Z101" s="84"/>
    </row>
    <row r="102" spans="5:26" ht="39.75" customHeight="1">
      <c r="E102" s="84"/>
      <c r="F102" s="84"/>
      <c r="Y102" s="84"/>
      <c r="Z102" s="84"/>
    </row>
    <row r="103" spans="5:26" ht="39.75" customHeight="1">
      <c r="E103" s="84"/>
      <c r="F103" s="84"/>
      <c r="Y103" s="84"/>
      <c r="Z103" s="84"/>
    </row>
    <row r="104" spans="5:26" ht="39.75" customHeight="1">
      <c r="E104" s="84"/>
      <c r="F104" s="84"/>
      <c r="Y104" s="84"/>
      <c r="Z104" s="84"/>
    </row>
    <row r="105" spans="5:26" ht="39.75" customHeight="1">
      <c r="E105" s="84"/>
      <c r="F105" s="84"/>
      <c r="Y105" s="84"/>
      <c r="Z105" s="84"/>
    </row>
    <row r="106" spans="5:26" ht="39.75" customHeight="1">
      <c r="E106" s="84"/>
      <c r="F106" s="84"/>
      <c r="Y106" s="84"/>
      <c r="Z106" s="84"/>
    </row>
    <row r="107" spans="5:26" ht="39.75" customHeight="1">
      <c r="E107" s="84"/>
      <c r="F107" s="84"/>
      <c r="Y107" s="84"/>
      <c r="Z107" s="84"/>
    </row>
    <row r="108" spans="5:26" ht="39.75" customHeight="1">
      <c r="E108" s="84"/>
      <c r="F108" s="84"/>
      <c r="Y108" s="84"/>
      <c r="Z108" s="84"/>
    </row>
    <row r="109" spans="5:26" ht="39.75" customHeight="1">
      <c r="E109" s="84"/>
      <c r="F109" s="84"/>
      <c r="Y109" s="84"/>
      <c r="Z109" s="84"/>
    </row>
    <row r="110" spans="5:26" ht="39.75" customHeight="1">
      <c r="E110" s="84"/>
      <c r="F110" s="84"/>
      <c r="Y110" s="84"/>
      <c r="Z110" s="84"/>
    </row>
    <row r="111" spans="5:26" ht="39.75" customHeight="1">
      <c r="E111" s="84"/>
      <c r="F111" s="84"/>
      <c r="Y111" s="84"/>
      <c r="Z111" s="84"/>
    </row>
    <row r="112" spans="5:26" ht="39.75" customHeight="1">
      <c r="E112" s="84"/>
      <c r="F112" s="84"/>
      <c r="Y112" s="84"/>
      <c r="Z112" s="84"/>
    </row>
    <row r="113" spans="5:26" ht="39.75" customHeight="1">
      <c r="E113" s="84"/>
      <c r="F113" s="84"/>
      <c r="Y113" s="84"/>
      <c r="Z113" s="84"/>
    </row>
    <row r="114" spans="5:26" ht="39.75" customHeight="1">
      <c r="E114" s="84"/>
      <c r="F114" s="84"/>
      <c r="Y114" s="84"/>
      <c r="Z114" s="84"/>
    </row>
    <row r="115" spans="5:26" ht="39.75" customHeight="1">
      <c r="E115" s="84"/>
      <c r="F115" s="84"/>
      <c r="Y115" s="84"/>
      <c r="Z115" s="84"/>
    </row>
    <row r="116" spans="5:26" ht="39.75" customHeight="1">
      <c r="E116" s="84"/>
      <c r="F116" s="84"/>
      <c r="Y116" s="84"/>
      <c r="Z116" s="84"/>
    </row>
    <row r="117" spans="5:26" ht="39.75" customHeight="1">
      <c r="E117" s="84"/>
      <c r="F117" s="84"/>
      <c r="Y117" s="84"/>
      <c r="Z117" s="84"/>
    </row>
    <row r="118" spans="5:26" ht="39.75" customHeight="1">
      <c r="E118" s="84"/>
      <c r="F118" s="84"/>
      <c r="Y118" s="84"/>
      <c r="Z118" s="84"/>
    </row>
    <row r="119" spans="5:26" ht="39.75" customHeight="1">
      <c r="E119" s="84"/>
      <c r="F119" s="84"/>
      <c r="Y119" s="84"/>
      <c r="Z119" s="84"/>
    </row>
    <row r="120" spans="5:26" ht="39.75" customHeight="1">
      <c r="E120" s="84"/>
      <c r="F120" s="84"/>
      <c r="Y120" s="84"/>
      <c r="Z120" s="84"/>
    </row>
    <row r="121" spans="5:26" ht="39.75" customHeight="1">
      <c r="E121" s="84"/>
      <c r="F121" s="84"/>
      <c r="Y121" s="84"/>
      <c r="Z121" s="84"/>
    </row>
    <row r="122" spans="5:26" ht="39.75" customHeight="1">
      <c r="E122" s="84"/>
      <c r="F122" s="84"/>
      <c r="Y122" s="84"/>
      <c r="Z122" s="84"/>
    </row>
    <row r="123" spans="5:26" ht="39.75" customHeight="1">
      <c r="E123" s="84"/>
      <c r="F123" s="84"/>
      <c r="Y123" s="84"/>
      <c r="Z123" s="84"/>
    </row>
    <row r="124" spans="5:26" ht="39.75" customHeight="1">
      <c r="E124" s="84"/>
      <c r="F124" s="84"/>
      <c r="Y124" s="84"/>
      <c r="Z124" s="84"/>
    </row>
    <row r="125" spans="5:26" ht="39.75" customHeight="1">
      <c r="E125" s="84"/>
      <c r="F125" s="84"/>
      <c r="Y125" s="84"/>
      <c r="Z125" s="84"/>
    </row>
    <row r="126" spans="5:26" ht="39.75" customHeight="1">
      <c r="E126" s="84"/>
      <c r="F126" s="84"/>
      <c r="Y126" s="84"/>
      <c r="Z126" s="84"/>
    </row>
    <row r="127" spans="5:26" ht="39.75" customHeight="1">
      <c r="E127" s="84"/>
      <c r="F127" s="84"/>
      <c r="Y127" s="84"/>
      <c r="Z127" s="84"/>
    </row>
    <row r="128" spans="5:26" ht="39.75" customHeight="1">
      <c r="E128" s="84"/>
      <c r="F128" s="84"/>
      <c r="Y128" s="84"/>
      <c r="Z128" s="84"/>
    </row>
    <row r="129" spans="5:26" ht="39.75" customHeight="1">
      <c r="E129" s="84"/>
      <c r="F129" s="84"/>
      <c r="Y129" s="84"/>
      <c r="Z129" s="84"/>
    </row>
    <row r="130" spans="5:26" ht="39.75" customHeight="1">
      <c r="E130" s="84"/>
      <c r="F130" s="84"/>
      <c r="Y130" s="84"/>
      <c r="Z130" s="84"/>
    </row>
    <row r="131" spans="5:26" ht="39.75" customHeight="1">
      <c r="E131" s="84"/>
      <c r="F131" s="84"/>
      <c r="Y131" s="84"/>
      <c r="Z131" s="84"/>
    </row>
    <row r="132" spans="5:26" ht="39.75" customHeight="1">
      <c r="E132" s="84"/>
      <c r="F132" s="84"/>
      <c r="Y132" s="84"/>
      <c r="Z132" s="84"/>
    </row>
    <row r="133" spans="5:26" ht="39.75" customHeight="1">
      <c r="E133" s="84"/>
      <c r="F133" s="84"/>
      <c r="Y133" s="84"/>
      <c r="Z133" s="84"/>
    </row>
    <row r="134" spans="5:26" ht="39.75" customHeight="1">
      <c r="E134" s="84"/>
      <c r="F134" s="84"/>
      <c r="Y134" s="84"/>
      <c r="Z134" s="84"/>
    </row>
    <row r="135" spans="5:26" ht="39.75" customHeight="1">
      <c r="E135" s="84"/>
      <c r="F135" s="84"/>
      <c r="Y135" s="84"/>
      <c r="Z135" s="84"/>
    </row>
    <row r="136" spans="5:26" ht="39.75" customHeight="1">
      <c r="E136" s="84"/>
      <c r="F136" s="84"/>
      <c r="Y136" s="84"/>
      <c r="Z136" s="84"/>
    </row>
    <row r="137" spans="5:26" ht="39.75" customHeight="1">
      <c r="E137" s="84"/>
      <c r="F137" s="84"/>
      <c r="Y137" s="84"/>
      <c r="Z137" s="84"/>
    </row>
    <row r="138" spans="5:26" ht="39.75" customHeight="1">
      <c r="E138" s="84"/>
      <c r="F138" s="84"/>
      <c r="Y138" s="84"/>
      <c r="Z138" s="84"/>
    </row>
    <row r="139" spans="5:26" ht="39.75" customHeight="1">
      <c r="E139" s="84"/>
      <c r="F139" s="84"/>
      <c r="Y139" s="84"/>
      <c r="Z139" s="84"/>
    </row>
    <row r="140" spans="5:26" ht="39.75" customHeight="1">
      <c r="E140" s="84"/>
      <c r="F140" s="84"/>
      <c r="Y140" s="84"/>
      <c r="Z140" s="84"/>
    </row>
    <row r="141" spans="5:26" ht="39.75" customHeight="1">
      <c r="E141" s="84"/>
      <c r="F141" s="84"/>
      <c r="Y141" s="84"/>
      <c r="Z141" s="84"/>
    </row>
    <row r="142" spans="5:26" ht="39.75" customHeight="1">
      <c r="E142" s="84"/>
      <c r="F142" s="84"/>
      <c r="Y142" s="84"/>
      <c r="Z142" s="84"/>
    </row>
    <row r="143" spans="5:26" ht="39.75" customHeight="1">
      <c r="E143" s="84"/>
      <c r="F143" s="84"/>
      <c r="Y143" s="84"/>
      <c r="Z143" s="84"/>
    </row>
    <row r="144" spans="5:26" ht="39.75" customHeight="1">
      <c r="E144" s="84"/>
      <c r="F144" s="84"/>
      <c r="Y144" s="84"/>
      <c r="Z144" s="84"/>
    </row>
    <row r="145" spans="5:26" ht="39.75" customHeight="1">
      <c r="E145" s="84"/>
      <c r="F145" s="84"/>
      <c r="Y145" s="84"/>
      <c r="Z145" s="84"/>
    </row>
    <row r="146" spans="5:26" ht="39.75" customHeight="1">
      <c r="E146" s="84"/>
      <c r="F146" s="84"/>
      <c r="Y146" s="84"/>
      <c r="Z146" s="84"/>
    </row>
    <row r="147" spans="5:26" ht="39.75" customHeight="1">
      <c r="E147" s="84"/>
      <c r="F147" s="84"/>
      <c r="Y147" s="84"/>
      <c r="Z147" s="84"/>
    </row>
    <row r="148" spans="5:26" ht="39.75" customHeight="1">
      <c r="E148" s="84"/>
      <c r="F148" s="84"/>
      <c r="Y148" s="84"/>
      <c r="Z148" s="84"/>
    </row>
    <row r="149" spans="5:26" ht="39.75" customHeight="1">
      <c r="E149" s="84"/>
      <c r="F149" s="84"/>
      <c r="Y149" s="84"/>
      <c r="Z149" s="84"/>
    </row>
    <row r="150" spans="5:26" ht="39.75" customHeight="1">
      <c r="E150" s="84"/>
      <c r="F150" s="84"/>
      <c r="Y150" s="84"/>
      <c r="Z150" s="84"/>
    </row>
    <row r="151" spans="5:26" ht="39.75" customHeight="1">
      <c r="E151" s="84"/>
      <c r="F151" s="84"/>
      <c r="Y151" s="84"/>
      <c r="Z151" s="84"/>
    </row>
    <row r="152" spans="5:26" ht="39.75" customHeight="1">
      <c r="E152" s="84"/>
      <c r="F152" s="84"/>
      <c r="Y152" s="84"/>
      <c r="Z152" s="84"/>
    </row>
    <row r="153" spans="5:26" ht="39.75" customHeight="1">
      <c r="E153" s="84"/>
      <c r="F153" s="84"/>
      <c r="Y153" s="84"/>
      <c r="Z153" s="84"/>
    </row>
    <row r="154" spans="5:26" ht="39.75" customHeight="1">
      <c r="E154" s="84"/>
      <c r="F154" s="84"/>
      <c r="Y154" s="84"/>
      <c r="Z154" s="84"/>
    </row>
    <row r="155" spans="5:26" ht="39.75" customHeight="1">
      <c r="E155" s="84"/>
      <c r="F155" s="84"/>
      <c r="Y155" s="84"/>
      <c r="Z155" s="84"/>
    </row>
    <row r="156" spans="5:26" ht="39.75" customHeight="1">
      <c r="E156" s="84"/>
      <c r="F156" s="84"/>
      <c r="Y156" s="84"/>
      <c r="Z156" s="84"/>
    </row>
    <row r="157" spans="5:26" ht="39.75" customHeight="1">
      <c r="E157" s="84"/>
      <c r="F157" s="84"/>
      <c r="Y157" s="84"/>
      <c r="Z157" s="84"/>
    </row>
    <row r="158" spans="5:26" ht="39.75" customHeight="1">
      <c r="E158" s="84"/>
      <c r="F158" s="84"/>
      <c r="Y158" s="84"/>
      <c r="Z158" s="84"/>
    </row>
    <row r="159" spans="5:26" ht="39.75" customHeight="1">
      <c r="E159" s="84"/>
      <c r="F159" s="84"/>
      <c r="Y159" s="84"/>
      <c r="Z159" s="84"/>
    </row>
    <row r="160" spans="5:26" ht="39.75" customHeight="1">
      <c r="E160" s="84"/>
      <c r="F160" s="84"/>
      <c r="Y160" s="84"/>
      <c r="Z160" s="84"/>
    </row>
    <row r="161" spans="5:26" ht="39.75" customHeight="1">
      <c r="E161" s="84"/>
      <c r="F161" s="84"/>
      <c r="Y161" s="84"/>
      <c r="Z161" s="84"/>
    </row>
    <row r="162" spans="5:26" ht="39.75" customHeight="1">
      <c r="E162" s="84"/>
      <c r="F162" s="84"/>
      <c r="Y162" s="84"/>
      <c r="Z162" s="84"/>
    </row>
    <row r="163" spans="5:26" ht="39.75" customHeight="1">
      <c r="E163" s="84"/>
      <c r="F163" s="84"/>
      <c r="Y163" s="84"/>
      <c r="Z163" s="84"/>
    </row>
    <row r="164" spans="5:26" ht="39.75" customHeight="1">
      <c r="E164" s="84"/>
      <c r="F164" s="84"/>
      <c r="Y164" s="84"/>
      <c r="Z164" s="84"/>
    </row>
    <row r="165" spans="5:26" ht="39.75" customHeight="1">
      <c r="E165" s="84"/>
      <c r="F165" s="84"/>
      <c r="Y165" s="84"/>
      <c r="Z165" s="84"/>
    </row>
    <row r="166" spans="5:26" ht="39.75" customHeight="1">
      <c r="E166" s="84"/>
      <c r="F166" s="84"/>
      <c r="Y166" s="84"/>
      <c r="Z166" s="84"/>
    </row>
    <row r="167" spans="5:26" ht="39.75" customHeight="1">
      <c r="E167" s="84"/>
      <c r="F167" s="84"/>
      <c r="Y167" s="84"/>
      <c r="Z167" s="84"/>
    </row>
    <row r="168" spans="5:26" ht="39.75" customHeight="1">
      <c r="E168" s="84"/>
      <c r="F168" s="84"/>
      <c r="Y168" s="84"/>
      <c r="Z168" s="84"/>
    </row>
    <row r="169" spans="5:26" ht="39.75" customHeight="1">
      <c r="E169" s="84"/>
      <c r="F169" s="84"/>
      <c r="Y169" s="84"/>
      <c r="Z169" s="84"/>
    </row>
    <row r="170" spans="5:26" ht="39.75" customHeight="1">
      <c r="E170" s="84"/>
      <c r="F170" s="84"/>
      <c r="Y170" s="84"/>
      <c r="Z170" s="84"/>
    </row>
    <row r="171" spans="5:26" ht="39.75" customHeight="1">
      <c r="E171" s="84"/>
      <c r="F171" s="84"/>
      <c r="Y171" s="84"/>
      <c r="Z171" s="84"/>
    </row>
    <row r="172" spans="5:26" ht="39.75" customHeight="1">
      <c r="E172" s="84"/>
      <c r="F172" s="84"/>
      <c r="Y172" s="84"/>
      <c r="Z172" s="84"/>
    </row>
    <row r="173" spans="5:26" ht="39.75" customHeight="1">
      <c r="E173" s="84"/>
      <c r="F173" s="84"/>
      <c r="Y173" s="84"/>
      <c r="Z173" s="84"/>
    </row>
    <row r="174" spans="5:26" ht="39.75" customHeight="1">
      <c r="E174" s="84"/>
      <c r="F174" s="84"/>
      <c r="Y174" s="84"/>
      <c r="Z174" s="84"/>
    </row>
    <row r="175" spans="5:26" ht="39.75" customHeight="1">
      <c r="E175" s="84"/>
      <c r="F175" s="84"/>
      <c r="Y175" s="84"/>
      <c r="Z175" s="84"/>
    </row>
    <row r="176" spans="5:26" ht="39.75" customHeight="1">
      <c r="E176" s="84"/>
      <c r="F176" s="84"/>
      <c r="Y176" s="84"/>
      <c r="Z176" s="84"/>
    </row>
    <row r="177" spans="5:26" ht="39.75" customHeight="1">
      <c r="E177" s="84"/>
      <c r="F177" s="84"/>
      <c r="Y177" s="84"/>
      <c r="Z177" s="84"/>
    </row>
    <row r="178" spans="5:26" ht="39.75" customHeight="1">
      <c r="E178" s="84"/>
      <c r="F178" s="84"/>
      <c r="Y178" s="84"/>
      <c r="Z178" s="84"/>
    </row>
    <row r="179" spans="5:26" ht="39.75" customHeight="1">
      <c r="E179" s="84"/>
      <c r="F179" s="84"/>
      <c r="Y179" s="84"/>
      <c r="Z179" s="84"/>
    </row>
    <row r="180" spans="5:26" ht="39.75" customHeight="1">
      <c r="E180" s="84"/>
      <c r="F180" s="84"/>
      <c r="Y180" s="84"/>
      <c r="Z180" s="84"/>
    </row>
    <row r="181" spans="5:26" ht="39.75" customHeight="1">
      <c r="E181" s="84"/>
      <c r="F181" s="84"/>
      <c r="Y181" s="84"/>
      <c r="Z181" s="84"/>
    </row>
    <row r="182" spans="5:26" ht="39.75" customHeight="1">
      <c r="E182" s="84"/>
      <c r="F182" s="84"/>
      <c r="Y182" s="84"/>
      <c r="Z182" s="84"/>
    </row>
    <row r="183" spans="5:26" ht="39.75" customHeight="1">
      <c r="E183" s="84"/>
      <c r="F183" s="84"/>
      <c r="Y183" s="84"/>
      <c r="Z183" s="84"/>
    </row>
    <row r="184" spans="5:26" ht="39.75" customHeight="1">
      <c r="E184" s="84"/>
      <c r="F184" s="84"/>
      <c r="Y184" s="84"/>
      <c r="Z184" s="84"/>
    </row>
    <row r="185" spans="5:26" ht="39.75" customHeight="1">
      <c r="E185" s="84"/>
      <c r="F185" s="84"/>
      <c r="Y185" s="84"/>
      <c r="Z185" s="84"/>
    </row>
    <row r="186" spans="5:26" ht="39.75" customHeight="1">
      <c r="E186" s="84"/>
      <c r="F186" s="84"/>
      <c r="Y186" s="84"/>
      <c r="Z186" s="84"/>
    </row>
    <row r="187" spans="5:26" ht="39.75" customHeight="1">
      <c r="E187" s="84"/>
      <c r="F187" s="84"/>
      <c r="Y187" s="84"/>
      <c r="Z187" s="84"/>
    </row>
    <row r="188" spans="5:26" ht="39.75" customHeight="1">
      <c r="E188" s="84"/>
      <c r="F188" s="84"/>
      <c r="Y188" s="84"/>
      <c r="Z188" s="84"/>
    </row>
    <row r="189" spans="5:26" ht="39.75" customHeight="1">
      <c r="E189" s="84"/>
      <c r="F189" s="84"/>
      <c r="Y189" s="84"/>
      <c r="Z189" s="84"/>
    </row>
    <row r="190" spans="5:26" ht="39.75" customHeight="1">
      <c r="E190" s="84"/>
      <c r="F190" s="84"/>
      <c r="Y190" s="84"/>
      <c r="Z190" s="84"/>
    </row>
    <row r="191" spans="5:26" ht="39.75" customHeight="1">
      <c r="E191" s="84"/>
      <c r="F191" s="84"/>
      <c r="Y191" s="84"/>
      <c r="Z191" s="84"/>
    </row>
    <row r="192" spans="5:26" ht="39.75" customHeight="1">
      <c r="E192" s="84"/>
      <c r="F192" s="84"/>
      <c r="Y192" s="84"/>
      <c r="Z192" s="84"/>
    </row>
    <row r="193" spans="5:26" ht="39.75" customHeight="1">
      <c r="E193" s="84"/>
      <c r="F193" s="84"/>
      <c r="Y193" s="84"/>
      <c r="Z193" s="84"/>
    </row>
    <row r="194" spans="5:26" ht="39.75" customHeight="1">
      <c r="E194" s="84"/>
      <c r="F194" s="84"/>
      <c r="Y194" s="84"/>
      <c r="Z194" s="84"/>
    </row>
    <row r="195" spans="5:26" ht="39.75" customHeight="1">
      <c r="E195" s="84"/>
      <c r="F195" s="84"/>
      <c r="Y195" s="84"/>
      <c r="Z195" s="84"/>
    </row>
    <row r="196" spans="5:26" ht="39.75" customHeight="1">
      <c r="E196" s="84"/>
      <c r="F196" s="84"/>
      <c r="Y196" s="84"/>
      <c r="Z196" s="84"/>
    </row>
    <row r="197" spans="5:26" ht="39.75" customHeight="1">
      <c r="E197" s="84"/>
      <c r="F197" s="84"/>
      <c r="Y197" s="84"/>
      <c r="Z197" s="84"/>
    </row>
    <row r="198" spans="5:26" ht="39.75" customHeight="1">
      <c r="E198" s="84"/>
      <c r="F198" s="84"/>
      <c r="Y198" s="84"/>
      <c r="Z198" s="84"/>
    </row>
    <row r="199" spans="5:26" ht="39.75" customHeight="1">
      <c r="E199" s="84"/>
      <c r="F199" s="84"/>
      <c r="Y199" s="84"/>
      <c r="Z199" s="84"/>
    </row>
    <row r="200" spans="5:26" ht="39.75" customHeight="1">
      <c r="E200" s="84"/>
      <c r="F200" s="84"/>
      <c r="Y200" s="84"/>
      <c r="Z200" s="84"/>
    </row>
    <row r="201" spans="5:26" ht="39.75" customHeight="1">
      <c r="E201" s="84"/>
      <c r="F201" s="84"/>
      <c r="Y201" s="84"/>
      <c r="Z201" s="84"/>
    </row>
    <row r="202" spans="5:26" ht="39.75" customHeight="1">
      <c r="E202" s="84"/>
      <c r="F202" s="84"/>
      <c r="Y202" s="84"/>
      <c r="Z202" s="84"/>
    </row>
    <row r="203" spans="5:26" ht="39.75" customHeight="1">
      <c r="E203" s="84"/>
      <c r="F203" s="84"/>
      <c r="Y203" s="84"/>
      <c r="Z203" s="84"/>
    </row>
    <row r="204" spans="5:26" ht="39.75" customHeight="1">
      <c r="E204" s="84"/>
      <c r="F204" s="84"/>
      <c r="Y204" s="84"/>
      <c r="Z204" s="84"/>
    </row>
    <row r="205" spans="5:26" ht="39.75" customHeight="1">
      <c r="E205" s="84"/>
      <c r="F205" s="84"/>
      <c r="Y205" s="84"/>
      <c r="Z205" s="84"/>
    </row>
    <row r="206" spans="5:26" ht="39.75" customHeight="1">
      <c r="E206" s="84"/>
      <c r="F206" s="84"/>
      <c r="Y206" s="84"/>
      <c r="Z206" s="84"/>
    </row>
    <row r="207" spans="5:26" ht="39.75" customHeight="1">
      <c r="E207" s="84"/>
      <c r="F207" s="84"/>
      <c r="Y207" s="84"/>
      <c r="Z207" s="84"/>
    </row>
    <row r="208" spans="5:26" ht="39.75" customHeight="1">
      <c r="E208" s="84"/>
      <c r="F208" s="84"/>
      <c r="Y208" s="84"/>
      <c r="Z208" s="84"/>
    </row>
    <row r="209" spans="5:26" ht="39.75" customHeight="1">
      <c r="E209" s="84"/>
      <c r="F209" s="84"/>
      <c r="Y209" s="84"/>
      <c r="Z209" s="84"/>
    </row>
    <row r="210" spans="5:26" ht="39.75" customHeight="1">
      <c r="E210" s="84"/>
      <c r="F210" s="84"/>
      <c r="Y210" s="84"/>
      <c r="Z210" s="84"/>
    </row>
    <row r="211" spans="5:26" ht="39.75" customHeight="1">
      <c r="E211" s="84"/>
      <c r="F211" s="84"/>
      <c r="Y211" s="84"/>
      <c r="Z211" s="84"/>
    </row>
    <row r="212" spans="5:26" ht="39.75" customHeight="1">
      <c r="E212" s="84"/>
      <c r="F212" s="84"/>
      <c r="Y212" s="84"/>
      <c r="Z212" s="84"/>
    </row>
    <row r="213" spans="5:26" ht="39.75" customHeight="1">
      <c r="E213" s="84"/>
      <c r="F213" s="84"/>
      <c r="Y213" s="84"/>
      <c r="Z213" s="84"/>
    </row>
    <row r="214" spans="5:26" ht="39.75" customHeight="1">
      <c r="E214" s="84"/>
      <c r="F214" s="84"/>
      <c r="Y214" s="84"/>
      <c r="Z214" s="84"/>
    </row>
    <row r="215" spans="5:26" ht="39.75" customHeight="1">
      <c r="E215" s="84"/>
      <c r="F215" s="84"/>
      <c r="Y215" s="84"/>
      <c r="Z215" s="84"/>
    </row>
    <row r="216" spans="5:26" ht="39.75" customHeight="1">
      <c r="E216" s="84"/>
      <c r="F216" s="84"/>
      <c r="Y216" s="84"/>
      <c r="Z216" s="84"/>
    </row>
    <row r="217" spans="5:26" ht="39.75" customHeight="1">
      <c r="E217" s="84"/>
      <c r="F217" s="84"/>
      <c r="Y217" s="84"/>
      <c r="Z217" s="84"/>
    </row>
    <row r="218" spans="5:26" ht="39.75" customHeight="1">
      <c r="E218" s="84"/>
      <c r="F218" s="84"/>
      <c r="Y218" s="84"/>
      <c r="Z218" s="84"/>
    </row>
    <row r="219" spans="5:26" ht="39.75" customHeight="1">
      <c r="E219" s="84"/>
      <c r="F219" s="84"/>
      <c r="Y219" s="84"/>
      <c r="Z219" s="84"/>
    </row>
    <row r="220" spans="5:26" ht="39.75" customHeight="1">
      <c r="E220" s="84"/>
      <c r="F220" s="84"/>
      <c r="Y220" s="84"/>
      <c r="Z220" s="84"/>
    </row>
    <row r="221" spans="5:26" ht="39.75" customHeight="1">
      <c r="E221" s="84"/>
      <c r="F221" s="84"/>
      <c r="Y221" s="84"/>
      <c r="Z221" s="84"/>
    </row>
    <row r="222" spans="5:26" ht="39.75" customHeight="1">
      <c r="E222" s="84"/>
      <c r="F222" s="84"/>
      <c r="Y222" s="84"/>
      <c r="Z222" s="84"/>
    </row>
    <row r="223" spans="5:26" ht="39.75" customHeight="1">
      <c r="E223" s="84"/>
      <c r="F223" s="84"/>
      <c r="Y223" s="84"/>
      <c r="Z223" s="84"/>
    </row>
    <row r="224" spans="5:26" ht="39.75" customHeight="1">
      <c r="E224" s="84"/>
      <c r="F224" s="84"/>
      <c r="Y224" s="84"/>
      <c r="Z224" s="84"/>
    </row>
    <row r="225" spans="5:26" ht="39.75" customHeight="1">
      <c r="E225" s="84"/>
      <c r="F225" s="84"/>
      <c r="Y225" s="84"/>
      <c r="Z225" s="84"/>
    </row>
    <row r="226" spans="5:26" ht="39.75" customHeight="1">
      <c r="E226" s="84"/>
      <c r="F226" s="84"/>
      <c r="Y226" s="84"/>
      <c r="Z226" s="84"/>
    </row>
    <row r="227" spans="5:26" ht="39.75" customHeight="1">
      <c r="E227" s="84"/>
      <c r="F227" s="84"/>
      <c r="Y227" s="84"/>
      <c r="Z227" s="84"/>
    </row>
    <row r="228" spans="5:26" ht="39.75" customHeight="1">
      <c r="E228" s="84"/>
      <c r="F228" s="84"/>
      <c r="Y228" s="84"/>
      <c r="Z228" s="84"/>
    </row>
    <row r="229" spans="5:26" ht="39.75" customHeight="1">
      <c r="E229" s="84"/>
      <c r="F229" s="84"/>
      <c r="Y229" s="84"/>
      <c r="Z229" s="84"/>
    </row>
    <row r="230" spans="5:26" ht="39.75" customHeight="1">
      <c r="E230" s="84"/>
      <c r="F230" s="84"/>
      <c r="Y230" s="84"/>
      <c r="Z230" s="84"/>
    </row>
    <row r="231" spans="5:26" ht="39.75" customHeight="1">
      <c r="E231" s="84"/>
      <c r="F231" s="84"/>
      <c r="Y231" s="84"/>
      <c r="Z231" s="84"/>
    </row>
    <row r="232" spans="5:26" ht="39.75" customHeight="1">
      <c r="E232" s="84"/>
      <c r="F232" s="84"/>
      <c r="Y232" s="84"/>
      <c r="Z232" s="84"/>
    </row>
    <row r="233" spans="5:26" ht="39.75" customHeight="1">
      <c r="E233" s="84"/>
      <c r="F233" s="84"/>
      <c r="Y233" s="84"/>
      <c r="Z233" s="84"/>
    </row>
    <row r="234" spans="5:26" ht="39.75" customHeight="1">
      <c r="E234" s="84"/>
      <c r="F234" s="84"/>
      <c r="Y234" s="84"/>
      <c r="Z234" s="84"/>
    </row>
    <row r="235" spans="5:26" ht="39.75" customHeight="1">
      <c r="E235" s="84"/>
      <c r="F235" s="84"/>
      <c r="Y235" s="84"/>
      <c r="Z235" s="84"/>
    </row>
    <row r="236" spans="5:26" ht="39.75" customHeight="1">
      <c r="E236" s="84"/>
      <c r="F236" s="84"/>
      <c r="Y236" s="84"/>
      <c r="Z236" s="84"/>
    </row>
    <row r="237" spans="5:26" ht="39.75" customHeight="1">
      <c r="E237" s="84"/>
      <c r="F237" s="84"/>
      <c r="Y237" s="84"/>
      <c r="Z237" s="84"/>
    </row>
    <row r="238" spans="5:26" ht="39.75" customHeight="1">
      <c r="E238" s="84"/>
      <c r="F238" s="84"/>
      <c r="Y238" s="84"/>
      <c r="Z238" s="84"/>
    </row>
    <row r="239" spans="5:26" ht="39.75" customHeight="1">
      <c r="E239" s="84"/>
      <c r="F239" s="84"/>
      <c r="Y239" s="84"/>
      <c r="Z239" s="84"/>
    </row>
    <row r="240" spans="5:26" ht="39.75" customHeight="1">
      <c r="E240" s="84"/>
      <c r="F240" s="84"/>
      <c r="Y240" s="84"/>
      <c r="Z240" s="84"/>
    </row>
    <row r="241" spans="5:26" ht="39.75" customHeight="1">
      <c r="E241" s="84"/>
      <c r="F241" s="84"/>
      <c r="Y241" s="84"/>
      <c r="Z241" s="84"/>
    </row>
    <row r="242" spans="5:26" ht="39.75" customHeight="1">
      <c r="E242" s="84"/>
      <c r="F242" s="84"/>
      <c r="Y242" s="84"/>
      <c r="Z242" s="84"/>
    </row>
    <row r="243" spans="5:26" ht="39.75" customHeight="1">
      <c r="E243" s="84"/>
      <c r="F243" s="84"/>
      <c r="Y243" s="84"/>
      <c r="Z243" s="84"/>
    </row>
    <row r="244" spans="5:26" ht="39.75" customHeight="1">
      <c r="E244" s="84"/>
      <c r="F244" s="84"/>
      <c r="Y244" s="84"/>
      <c r="Z244" s="84"/>
    </row>
    <row r="245" spans="5:26" ht="39.75" customHeight="1">
      <c r="E245" s="84"/>
      <c r="F245" s="84"/>
      <c r="Y245" s="84"/>
      <c r="Z245" s="84"/>
    </row>
    <row r="246" spans="5:26" ht="39.75" customHeight="1">
      <c r="E246" s="84"/>
      <c r="F246" s="84"/>
      <c r="Y246" s="84"/>
      <c r="Z246" s="84"/>
    </row>
    <row r="247" spans="5:26" ht="39.75" customHeight="1">
      <c r="E247" s="84"/>
      <c r="F247" s="84"/>
      <c r="Y247" s="84"/>
      <c r="Z247" s="84"/>
    </row>
    <row r="248" spans="5:26" ht="39.75" customHeight="1">
      <c r="E248" s="84"/>
      <c r="F248" s="84"/>
      <c r="Y248" s="84"/>
      <c r="Z248" s="84"/>
    </row>
    <row r="249" spans="5:26" ht="39.75" customHeight="1">
      <c r="E249" s="84"/>
      <c r="F249" s="84"/>
      <c r="Y249" s="84"/>
      <c r="Z249" s="84"/>
    </row>
    <row r="250" spans="5:26" ht="39.75" customHeight="1">
      <c r="E250" s="84"/>
      <c r="F250" s="84"/>
      <c r="Y250" s="84"/>
      <c r="Z250" s="84"/>
    </row>
    <row r="251" spans="5:26" ht="39.75" customHeight="1">
      <c r="E251" s="84"/>
      <c r="F251" s="84"/>
      <c r="Y251" s="84"/>
      <c r="Z251" s="84"/>
    </row>
    <row r="252" spans="5:26" ht="39.75" customHeight="1">
      <c r="E252" s="84"/>
      <c r="F252" s="84"/>
      <c r="Y252" s="84"/>
      <c r="Z252" s="84"/>
    </row>
    <row r="253" spans="5:26" ht="39.75" customHeight="1">
      <c r="E253" s="84"/>
      <c r="F253" s="84"/>
      <c r="Y253" s="84"/>
      <c r="Z253" s="84"/>
    </row>
    <row r="254" spans="5:26" ht="39.75" customHeight="1">
      <c r="E254" s="84"/>
      <c r="F254" s="84"/>
      <c r="Y254" s="84"/>
      <c r="Z254" s="84"/>
    </row>
    <row r="255" spans="5:26" ht="39.75" customHeight="1">
      <c r="E255" s="84"/>
      <c r="F255" s="84"/>
      <c r="Y255" s="84"/>
      <c r="Z255" s="84"/>
    </row>
    <row r="256" spans="5:26" ht="39.75" customHeight="1">
      <c r="E256" s="84"/>
      <c r="F256" s="84"/>
      <c r="Y256" s="84"/>
      <c r="Z256" s="84"/>
    </row>
    <row r="257" spans="5:26" ht="39.75" customHeight="1">
      <c r="E257" s="84"/>
      <c r="F257" s="84"/>
      <c r="Y257" s="84"/>
      <c r="Z257" s="84"/>
    </row>
    <row r="258" spans="5:26" ht="39.75" customHeight="1">
      <c r="E258" s="84"/>
      <c r="F258" s="84"/>
      <c r="Y258" s="84"/>
      <c r="Z258" s="84"/>
    </row>
    <row r="259" spans="5:26" ht="39.75" customHeight="1">
      <c r="E259" s="84"/>
      <c r="F259" s="84"/>
      <c r="Y259" s="84"/>
      <c r="Z259" s="84"/>
    </row>
    <row r="260" spans="5:26" ht="39.75" customHeight="1">
      <c r="E260" s="84"/>
      <c r="F260" s="84"/>
      <c r="Y260" s="84"/>
      <c r="Z260" s="84"/>
    </row>
    <row r="261" spans="5:26" ht="39.75" customHeight="1">
      <c r="E261" s="84"/>
      <c r="F261" s="84"/>
      <c r="Y261" s="84"/>
      <c r="Z261" s="84"/>
    </row>
    <row r="262" spans="5:26" ht="39.75" customHeight="1">
      <c r="E262" s="84"/>
      <c r="F262" s="84"/>
      <c r="Y262" s="84"/>
      <c r="Z262" s="84"/>
    </row>
    <row r="263" spans="5:26" ht="39.75" customHeight="1">
      <c r="E263" s="84"/>
      <c r="F263" s="84"/>
      <c r="Y263" s="84"/>
      <c r="Z263" s="84"/>
    </row>
    <row r="264" spans="5:26" ht="39.75" customHeight="1">
      <c r="E264" s="84"/>
      <c r="F264" s="84"/>
      <c r="Y264" s="84"/>
      <c r="Z264" s="84"/>
    </row>
    <row r="265" spans="5:26" ht="39.75" customHeight="1">
      <c r="E265" s="84"/>
      <c r="F265" s="84"/>
      <c r="Y265" s="84"/>
      <c r="Z265" s="84"/>
    </row>
    <row r="266" spans="5:26" ht="39.75" customHeight="1">
      <c r="E266" s="84"/>
      <c r="F266" s="84"/>
      <c r="Y266" s="84"/>
      <c r="Z266" s="84"/>
    </row>
    <row r="267" spans="5:26" ht="39.75" customHeight="1">
      <c r="E267" s="84"/>
      <c r="F267" s="84"/>
      <c r="Y267" s="84"/>
      <c r="Z267" s="84"/>
    </row>
    <row r="268" spans="5:26" ht="39.75" customHeight="1">
      <c r="E268" s="84"/>
      <c r="F268" s="84"/>
      <c r="Y268" s="84"/>
      <c r="Z268" s="84"/>
    </row>
    <row r="269" spans="5:26" ht="39.75" customHeight="1">
      <c r="E269" s="84"/>
      <c r="F269" s="84"/>
      <c r="Y269" s="84"/>
      <c r="Z269" s="84"/>
    </row>
    <row r="270" spans="5:26" ht="39.75" customHeight="1">
      <c r="E270" s="84"/>
      <c r="F270" s="84"/>
      <c r="Y270" s="84"/>
      <c r="Z270" s="84"/>
    </row>
    <row r="271" spans="5:26" ht="39.75" customHeight="1">
      <c r="E271" s="84"/>
      <c r="F271" s="84"/>
      <c r="Y271" s="84"/>
      <c r="Z271" s="84"/>
    </row>
    <row r="272" spans="5:26" ht="39.75" customHeight="1">
      <c r="E272" s="84"/>
      <c r="F272" s="84"/>
      <c r="Y272" s="84"/>
      <c r="Z272" s="84"/>
    </row>
    <row r="273" spans="5:26" ht="39.75" customHeight="1">
      <c r="E273" s="84"/>
      <c r="F273" s="84"/>
      <c r="Y273" s="84"/>
      <c r="Z273" s="84"/>
    </row>
    <row r="274" spans="5:26" ht="39.75" customHeight="1">
      <c r="E274" s="84"/>
      <c r="F274" s="84"/>
      <c r="Y274" s="84"/>
      <c r="Z274" s="84"/>
    </row>
    <row r="275" spans="5:26" ht="39.75" customHeight="1">
      <c r="E275" s="84"/>
      <c r="F275" s="84"/>
      <c r="Y275" s="84"/>
      <c r="Z275" s="84"/>
    </row>
    <row r="276" spans="5:26" ht="39.75" customHeight="1">
      <c r="E276" s="84"/>
      <c r="F276" s="84"/>
      <c r="Y276" s="84"/>
      <c r="Z276" s="84"/>
    </row>
    <row r="277" spans="5:26" ht="39.75" customHeight="1">
      <c r="E277" s="84"/>
      <c r="F277" s="84"/>
      <c r="Y277" s="84"/>
      <c r="Z277" s="84"/>
    </row>
    <row r="278" spans="5:26" ht="39.75" customHeight="1">
      <c r="E278" s="84"/>
      <c r="F278" s="84"/>
      <c r="Y278" s="84"/>
      <c r="Z278" s="84"/>
    </row>
    <row r="279" spans="5:26" ht="39.75" customHeight="1">
      <c r="E279" s="84"/>
      <c r="F279" s="84"/>
      <c r="Y279" s="84"/>
      <c r="Z279" s="84"/>
    </row>
    <row r="280" spans="5:26" ht="39.75" customHeight="1">
      <c r="E280" s="84"/>
      <c r="F280" s="84"/>
      <c r="Y280" s="84"/>
      <c r="Z280" s="84"/>
    </row>
    <row r="281" spans="5:26" ht="39.75" customHeight="1">
      <c r="E281" s="84"/>
      <c r="F281" s="84"/>
      <c r="Y281" s="84"/>
      <c r="Z281" s="84"/>
    </row>
    <row r="282" spans="5:26" ht="39.75" customHeight="1">
      <c r="E282" s="84"/>
      <c r="F282" s="84"/>
      <c r="Y282" s="84"/>
      <c r="Z282" s="84"/>
    </row>
    <row r="283" spans="5:26" ht="39.75" customHeight="1">
      <c r="E283" s="84"/>
      <c r="F283" s="84"/>
      <c r="Y283" s="84"/>
      <c r="Z283" s="84"/>
    </row>
    <row r="284" spans="5:26" ht="39.75" customHeight="1">
      <c r="E284" s="84"/>
      <c r="F284" s="84"/>
      <c r="Y284" s="84"/>
      <c r="Z284" s="84"/>
    </row>
    <row r="285" spans="5:26" ht="39.75" customHeight="1">
      <c r="E285" s="84"/>
      <c r="F285" s="84"/>
      <c r="Y285" s="84"/>
      <c r="Z285" s="84"/>
    </row>
    <row r="286" spans="5:26" ht="39.75" customHeight="1">
      <c r="E286" s="84"/>
      <c r="F286" s="84"/>
      <c r="Y286" s="84"/>
      <c r="Z286" s="84"/>
    </row>
    <row r="287" spans="5:26" ht="39.75" customHeight="1">
      <c r="E287" s="84"/>
      <c r="F287" s="84"/>
      <c r="Y287" s="84"/>
      <c r="Z287" s="84"/>
    </row>
    <row r="288" spans="5:26" ht="39.75" customHeight="1">
      <c r="E288" s="84"/>
      <c r="F288" s="84"/>
      <c r="Y288" s="84"/>
      <c r="Z288" s="84"/>
    </row>
    <row r="289" spans="5:26" ht="39.75" customHeight="1">
      <c r="E289" s="84"/>
      <c r="F289" s="84"/>
      <c r="Y289" s="84"/>
      <c r="Z289" s="84"/>
    </row>
    <row r="290" spans="5:26" ht="39.75" customHeight="1">
      <c r="E290" s="84"/>
      <c r="F290" s="84"/>
      <c r="Y290" s="84"/>
      <c r="Z290" s="84"/>
    </row>
    <row r="291" spans="5:26" ht="39.75" customHeight="1">
      <c r="E291" s="84"/>
      <c r="F291" s="84"/>
      <c r="Y291" s="84"/>
      <c r="Z291" s="84"/>
    </row>
    <row r="292" spans="5:26" ht="39.75" customHeight="1">
      <c r="E292" s="84"/>
      <c r="F292" s="84"/>
      <c r="Y292" s="84"/>
      <c r="Z292" s="84"/>
    </row>
    <row r="293" spans="5:26" ht="39.75" customHeight="1">
      <c r="E293" s="84"/>
      <c r="F293" s="84"/>
      <c r="Y293" s="84"/>
      <c r="Z293" s="84"/>
    </row>
    <row r="294" spans="5:26" ht="39.75" customHeight="1">
      <c r="E294" s="84"/>
      <c r="F294" s="84"/>
      <c r="Y294" s="84"/>
      <c r="Z294" s="84"/>
    </row>
    <row r="295" spans="5:26" ht="39.75" customHeight="1">
      <c r="E295" s="84"/>
      <c r="F295" s="84"/>
      <c r="Y295" s="84"/>
      <c r="Z295" s="84"/>
    </row>
    <row r="296" spans="5:26" ht="39.75" customHeight="1">
      <c r="E296" s="84"/>
      <c r="F296" s="84"/>
      <c r="Y296" s="84"/>
      <c r="Z296" s="84"/>
    </row>
    <row r="297" spans="5:26" ht="39.75" customHeight="1">
      <c r="E297" s="84"/>
      <c r="F297" s="84"/>
      <c r="Y297" s="84"/>
      <c r="Z297" s="84"/>
    </row>
    <row r="298" spans="5:26" ht="39.75" customHeight="1">
      <c r="E298" s="84"/>
      <c r="F298" s="84"/>
      <c r="Y298" s="84"/>
      <c r="Z298" s="84"/>
    </row>
    <row r="299" spans="5:26" ht="39.75" customHeight="1">
      <c r="E299" s="84"/>
      <c r="F299" s="84"/>
      <c r="Y299" s="84"/>
      <c r="Z299" s="84"/>
    </row>
    <row r="300" spans="5:26" ht="39.75" customHeight="1">
      <c r="E300" s="84"/>
      <c r="F300" s="84"/>
      <c r="Y300" s="84"/>
      <c r="Z300" s="84"/>
    </row>
    <row r="301" spans="5:26" ht="39.75" customHeight="1">
      <c r="E301" s="84"/>
      <c r="F301" s="84"/>
      <c r="Y301" s="84"/>
      <c r="Z301" s="84"/>
    </row>
    <row r="302" spans="5:26" ht="39.75" customHeight="1">
      <c r="E302" s="84"/>
      <c r="F302" s="84"/>
      <c r="Y302" s="84"/>
      <c r="Z302" s="84"/>
    </row>
    <row r="303" spans="5:26" ht="39.75" customHeight="1">
      <c r="E303" s="84"/>
      <c r="F303" s="84"/>
      <c r="Y303" s="84"/>
      <c r="Z303" s="84"/>
    </row>
    <row r="304" spans="5:26" ht="39.75" customHeight="1">
      <c r="E304" s="84"/>
      <c r="F304" s="84"/>
      <c r="Y304" s="84"/>
      <c r="Z304" s="84"/>
    </row>
    <row r="305" spans="5:26" ht="39.75" customHeight="1">
      <c r="E305" s="84"/>
      <c r="F305" s="84"/>
      <c r="Y305" s="84"/>
      <c r="Z305" s="84"/>
    </row>
    <row r="306" spans="5:26" ht="39.75" customHeight="1">
      <c r="E306" s="84"/>
      <c r="F306" s="84"/>
      <c r="Y306" s="84"/>
      <c r="Z306" s="84"/>
    </row>
    <row r="307" spans="5:26" ht="39.75" customHeight="1">
      <c r="E307" s="84"/>
      <c r="F307" s="84"/>
      <c r="Y307" s="84"/>
      <c r="Z307" s="84"/>
    </row>
    <row r="308" spans="5:26" ht="39.75" customHeight="1">
      <c r="E308" s="84"/>
      <c r="F308" s="84"/>
      <c r="Y308" s="84"/>
      <c r="Z308" s="84"/>
    </row>
    <row r="309" spans="5:26" ht="39.75" customHeight="1">
      <c r="E309" s="84"/>
      <c r="F309" s="84"/>
      <c r="Y309" s="84"/>
      <c r="Z309" s="84"/>
    </row>
    <row r="310" spans="5:26" ht="39.75" customHeight="1">
      <c r="E310" s="84"/>
      <c r="F310" s="84"/>
      <c r="Y310" s="84"/>
      <c r="Z310" s="84"/>
    </row>
    <row r="311" spans="5:26" ht="39.75" customHeight="1">
      <c r="E311" s="84"/>
      <c r="F311" s="84"/>
      <c r="Y311" s="84"/>
      <c r="Z311" s="84"/>
    </row>
    <row r="312" spans="5:26" ht="39.75" customHeight="1">
      <c r="E312" s="84"/>
      <c r="F312" s="84"/>
      <c r="Y312" s="84"/>
      <c r="Z312" s="84"/>
    </row>
    <row r="313" spans="5:26" ht="39.75" customHeight="1">
      <c r="E313" s="84"/>
      <c r="F313" s="84"/>
      <c r="Y313" s="84"/>
      <c r="Z313" s="84"/>
    </row>
    <row r="314" spans="5:26" ht="39.75" customHeight="1">
      <c r="E314" s="84"/>
      <c r="F314" s="84"/>
      <c r="Y314" s="84"/>
      <c r="Z314" s="84"/>
    </row>
    <row r="315" spans="5:26" ht="39.75" customHeight="1">
      <c r="E315" s="84"/>
      <c r="F315" s="84"/>
      <c r="Y315" s="84"/>
      <c r="Z315" s="84"/>
    </row>
    <row r="316" spans="5:26" ht="39.75" customHeight="1">
      <c r="E316" s="84"/>
      <c r="F316" s="84"/>
      <c r="Y316" s="84"/>
      <c r="Z316" s="84"/>
    </row>
    <row r="317" spans="5:26" ht="39.75" customHeight="1">
      <c r="E317" s="84"/>
      <c r="F317" s="84"/>
      <c r="Y317" s="84"/>
      <c r="Z317" s="84"/>
    </row>
    <row r="318" spans="5:26" ht="39.75" customHeight="1">
      <c r="E318" s="84"/>
      <c r="F318" s="84"/>
      <c r="Y318" s="84"/>
      <c r="Z318" s="84"/>
    </row>
    <row r="319" spans="5:26" ht="39.75" customHeight="1">
      <c r="E319" s="84"/>
      <c r="F319" s="84"/>
      <c r="Y319" s="84"/>
      <c r="Z319" s="84"/>
    </row>
    <row r="320" spans="5:26" ht="39.75" customHeight="1">
      <c r="E320" s="84"/>
      <c r="F320" s="84"/>
      <c r="Y320" s="84"/>
      <c r="Z320" s="84"/>
    </row>
    <row r="321" spans="5:26" ht="39.75" customHeight="1">
      <c r="E321" s="84"/>
      <c r="F321" s="84"/>
      <c r="Y321" s="84"/>
      <c r="Z321" s="84"/>
    </row>
    <row r="322" spans="5:26" ht="39.75" customHeight="1">
      <c r="E322" s="84"/>
      <c r="F322" s="84"/>
      <c r="Y322" s="84"/>
      <c r="Z322" s="84"/>
    </row>
    <row r="323" spans="5:26" ht="39.75" customHeight="1">
      <c r="E323" s="84"/>
      <c r="F323" s="84"/>
      <c r="Y323" s="84"/>
      <c r="Z323" s="84"/>
    </row>
    <row r="324" spans="5:26" ht="39.75" customHeight="1">
      <c r="E324" s="84"/>
      <c r="F324" s="84"/>
      <c r="Y324" s="84"/>
      <c r="Z324" s="84"/>
    </row>
    <row r="325" spans="5:26" ht="39.75" customHeight="1">
      <c r="E325" s="84"/>
      <c r="F325" s="84"/>
      <c r="Y325" s="84"/>
      <c r="Z325" s="84"/>
    </row>
    <row r="326" spans="5:26" ht="39.75" customHeight="1">
      <c r="E326" s="84"/>
      <c r="F326" s="84"/>
      <c r="Y326" s="84"/>
      <c r="Z326" s="84"/>
    </row>
    <row r="327" spans="5:26" ht="39.75" customHeight="1">
      <c r="E327" s="84"/>
      <c r="F327" s="84"/>
      <c r="Y327" s="84"/>
      <c r="Z327" s="84"/>
    </row>
    <row r="328" spans="5:26" ht="39.75" customHeight="1">
      <c r="E328" s="84"/>
      <c r="F328" s="84"/>
      <c r="Y328" s="84"/>
      <c r="Z328" s="84"/>
    </row>
    <row r="329" spans="5:26" ht="39.75" customHeight="1">
      <c r="E329" s="84"/>
      <c r="F329" s="84"/>
      <c r="Y329" s="84"/>
      <c r="Z329" s="84"/>
    </row>
    <row r="330" spans="5:26" ht="39.75" customHeight="1">
      <c r="E330" s="84"/>
      <c r="F330" s="84"/>
      <c r="Y330" s="84"/>
      <c r="Z330" s="84"/>
    </row>
    <row r="331" spans="5:26" ht="39.75" customHeight="1">
      <c r="E331" s="84"/>
      <c r="F331" s="84"/>
      <c r="Y331" s="84"/>
      <c r="Z331" s="84"/>
    </row>
    <row r="332" spans="5:26" ht="39.75" customHeight="1">
      <c r="E332" s="84"/>
      <c r="F332" s="84"/>
      <c r="Y332" s="84"/>
      <c r="Z332" s="84"/>
    </row>
    <row r="333" spans="5:26" ht="39.75" customHeight="1">
      <c r="E333" s="84"/>
      <c r="F333" s="84"/>
      <c r="Y333" s="84"/>
      <c r="Z333" s="84"/>
    </row>
    <row r="334" spans="5:26" ht="39.75" customHeight="1">
      <c r="E334" s="84"/>
      <c r="F334" s="84"/>
      <c r="Y334" s="84"/>
      <c r="Z334" s="84"/>
    </row>
    <row r="335" spans="5:26" ht="39.75" customHeight="1">
      <c r="E335" s="84"/>
      <c r="F335" s="84"/>
      <c r="Y335" s="84"/>
      <c r="Z335" s="84"/>
    </row>
    <row r="336" spans="5:26" ht="39.75" customHeight="1">
      <c r="E336" s="84"/>
      <c r="F336" s="84"/>
      <c r="Y336" s="84"/>
      <c r="Z336" s="84"/>
    </row>
    <row r="337" spans="5:26" ht="39.75" customHeight="1">
      <c r="E337" s="84"/>
      <c r="F337" s="84"/>
      <c r="Y337" s="84"/>
      <c r="Z337" s="84"/>
    </row>
    <row r="338" spans="5:26" ht="39.75" customHeight="1">
      <c r="E338" s="84"/>
      <c r="F338" s="84"/>
      <c r="Y338" s="84"/>
      <c r="Z338" s="84"/>
    </row>
    <row r="339" spans="5:26" ht="39.75" customHeight="1">
      <c r="E339" s="84"/>
      <c r="F339" s="84"/>
      <c r="Y339" s="84"/>
      <c r="Z339" s="84"/>
    </row>
    <row r="340" spans="5:26" ht="39.75" customHeight="1">
      <c r="E340" s="84"/>
      <c r="F340" s="84"/>
      <c r="Y340" s="84"/>
      <c r="Z340" s="84"/>
    </row>
    <row r="341" spans="5:26" ht="39.75" customHeight="1">
      <c r="E341" s="84"/>
      <c r="F341" s="84"/>
      <c r="Y341" s="84"/>
      <c r="Z341" s="84"/>
    </row>
    <row r="342" spans="5:26" ht="39.75" customHeight="1">
      <c r="E342" s="84"/>
      <c r="F342" s="84"/>
      <c r="Y342" s="84"/>
      <c r="Z342" s="84"/>
    </row>
    <row r="343" spans="5:26" ht="39.75" customHeight="1">
      <c r="E343" s="84"/>
      <c r="F343" s="84"/>
      <c r="Y343" s="84"/>
      <c r="Z343" s="84"/>
    </row>
    <row r="344" spans="5:26" ht="39.75" customHeight="1">
      <c r="E344" s="84"/>
      <c r="F344" s="84"/>
      <c r="Y344" s="84"/>
      <c r="Z344" s="84"/>
    </row>
    <row r="345" spans="5:26" ht="39.75" customHeight="1">
      <c r="E345" s="84"/>
      <c r="F345" s="84"/>
      <c r="Y345" s="84"/>
      <c r="Z345" s="84"/>
    </row>
    <row r="346" spans="5:26" ht="39.75" customHeight="1">
      <c r="E346" s="84"/>
      <c r="F346" s="84"/>
      <c r="Y346" s="84"/>
      <c r="Z346" s="84"/>
    </row>
    <row r="347" spans="5:26" ht="39.75" customHeight="1">
      <c r="E347" s="84"/>
      <c r="F347" s="84"/>
      <c r="Y347" s="84"/>
      <c r="Z347" s="84"/>
    </row>
    <row r="348" spans="5:26" ht="39.75" customHeight="1">
      <c r="E348" s="84"/>
      <c r="F348" s="84"/>
      <c r="Y348" s="84"/>
      <c r="Z348" s="84"/>
    </row>
    <row r="349" spans="5:26" ht="39.75" customHeight="1">
      <c r="E349" s="84"/>
      <c r="F349" s="84"/>
      <c r="Y349" s="84"/>
      <c r="Z349" s="84"/>
    </row>
    <row r="350" spans="5:26" ht="39.75" customHeight="1">
      <c r="E350" s="84"/>
      <c r="F350" s="84"/>
      <c r="Y350" s="84"/>
      <c r="Z350" s="84"/>
    </row>
    <row r="351" spans="5:26" ht="39.75" customHeight="1">
      <c r="E351" s="84"/>
      <c r="F351" s="84"/>
      <c r="Y351" s="84"/>
      <c r="Z351" s="84"/>
    </row>
    <row r="352" spans="5:26" ht="39.75" customHeight="1">
      <c r="E352" s="84"/>
      <c r="F352" s="84"/>
      <c r="Y352" s="84"/>
      <c r="Z352" s="84"/>
    </row>
    <row r="353" spans="5:26" ht="39.75" customHeight="1">
      <c r="E353" s="84"/>
      <c r="F353" s="84"/>
      <c r="Y353" s="84"/>
      <c r="Z353" s="84"/>
    </row>
    <row r="354" spans="5:26" ht="39.75" customHeight="1">
      <c r="E354" s="84"/>
      <c r="F354" s="84"/>
      <c r="Y354" s="84"/>
      <c r="Z354" s="84"/>
    </row>
    <row r="355" spans="5:26" ht="39.75" customHeight="1">
      <c r="E355" s="84"/>
      <c r="F355" s="84"/>
      <c r="Y355" s="84"/>
      <c r="Z355" s="84"/>
    </row>
    <row r="356" spans="5:26" ht="39.75" customHeight="1">
      <c r="E356" s="84"/>
      <c r="F356" s="84"/>
      <c r="Y356" s="84"/>
      <c r="Z356" s="84"/>
    </row>
    <row r="357" spans="5:26" ht="39.75" customHeight="1">
      <c r="E357" s="84"/>
      <c r="F357" s="84"/>
      <c r="Y357" s="84"/>
      <c r="Z357" s="84"/>
    </row>
    <row r="358" spans="5:26" ht="39.75" customHeight="1">
      <c r="E358" s="84"/>
      <c r="F358" s="84"/>
      <c r="Y358" s="84"/>
      <c r="Z358" s="84"/>
    </row>
    <row r="359" spans="5:26" ht="39.75" customHeight="1">
      <c r="E359" s="84"/>
      <c r="F359" s="84"/>
      <c r="Y359" s="84"/>
      <c r="Z359" s="84"/>
    </row>
    <row r="360" spans="5:26" ht="39.75" customHeight="1">
      <c r="E360" s="84"/>
      <c r="F360" s="84"/>
      <c r="Y360" s="84"/>
      <c r="Z360" s="84"/>
    </row>
    <row r="361" spans="5:26" ht="39.75" customHeight="1">
      <c r="E361" s="84"/>
      <c r="F361" s="84"/>
      <c r="Y361" s="84"/>
      <c r="Z361" s="84"/>
    </row>
    <row r="362" spans="5:26" ht="39.75" customHeight="1">
      <c r="E362" s="84"/>
      <c r="F362" s="84"/>
      <c r="Y362" s="84"/>
      <c r="Z362" s="84"/>
    </row>
    <row r="363" spans="5:26" ht="39.75" customHeight="1">
      <c r="E363" s="84"/>
      <c r="F363" s="84"/>
      <c r="Y363" s="84"/>
      <c r="Z363" s="84"/>
    </row>
    <row r="364" spans="5:26" ht="39.75" customHeight="1">
      <c r="E364" s="84"/>
      <c r="F364" s="84"/>
      <c r="Y364" s="84"/>
      <c r="Z364" s="84"/>
    </row>
    <row r="365" spans="5:26" ht="39.75" customHeight="1">
      <c r="E365" s="84"/>
      <c r="F365" s="84"/>
      <c r="Y365" s="84"/>
      <c r="Z365" s="84"/>
    </row>
    <row r="366" spans="5:26" ht="39.75" customHeight="1">
      <c r="E366" s="84"/>
      <c r="F366" s="84"/>
      <c r="Y366" s="84"/>
      <c r="Z366" s="84"/>
    </row>
    <row r="367" spans="5:26" ht="39.75" customHeight="1">
      <c r="E367" s="84"/>
      <c r="F367" s="84"/>
      <c r="Y367" s="84"/>
      <c r="Z367" s="84"/>
    </row>
    <row r="368" spans="5:26" ht="39.75" customHeight="1">
      <c r="E368" s="84"/>
      <c r="F368" s="84"/>
      <c r="Y368" s="84"/>
      <c r="Z368" s="84"/>
    </row>
    <row r="369" spans="5:26" ht="39.75" customHeight="1">
      <c r="E369" s="84"/>
      <c r="F369" s="84"/>
      <c r="Y369" s="84"/>
      <c r="Z369" s="84"/>
    </row>
    <row r="370" spans="5:26" ht="39.75" customHeight="1">
      <c r="E370" s="84"/>
      <c r="F370" s="84"/>
      <c r="Y370" s="84"/>
      <c r="Z370" s="84"/>
    </row>
    <row r="371" spans="5:26" ht="39.75" customHeight="1">
      <c r="E371" s="84"/>
      <c r="F371" s="84"/>
      <c r="Y371" s="84"/>
      <c r="Z371" s="84"/>
    </row>
    <row r="372" spans="5:26" ht="39.75" customHeight="1">
      <c r="E372" s="84"/>
      <c r="F372" s="84"/>
      <c r="Y372" s="84"/>
      <c r="Z372" s="84"/>
    </row>
    <row r="373" spans="5:26" ht="39.75" customHeight="1">
      <c r="E373" s="84"/>
      <c r="F373" s="84"/>
      <c r="Y373" s="84"/>
      <c r="Z373" s="84"/>
    </row>
    <row r="374" spans="5:26" ht="39.75" customHeight="1">
      <c r="E374" s="84"/>
      <c r="F374" s="84"/>
      <c r="Y374" s="84"/>
      <c r="Z374" s="84"/>
    </row>
    <row r="375" spans="5:26" ht="39.75" customHeight="1">
      <c r="E375" s="84"/>
      <c r="F375" s="84"/>
      <c r="Y375" s="84"/>
      <c r="Z375" s="84"/>
    </row>
    <row r="376" spans="5:26" ht="39.75" customHeight="1">
      <c r="E376" s="84"/>
      <c r="F376" s="84"/>
      <c r="Y376" s="84"/>
      <c r="Z376" s="84"/>
    </row>
    <row r="377" spans="5:26" ht="39.75" customHeight="1">
      <c r="E377" s="84"/>
      <c r="F377" s="84"/>
      <c r="Y377" s="84"/>
      <c r="Z377" s="84"/>
    </row>
    <row r="378" spans="5:26" ht="39.75" customHeight="1">
      <c r="E378" s="84"/>
      <c r="F378" s="84"/>
      <c r="Y378" s="84"/>
      <c r="Z378" s="84"/>
    </row>
    <row r="379" spans="5:26" ht="39.75" customHeight="1">
      <c r="E379" s="84"/>
      <c r="F379" s="84"/>
      <c r="Y379" s="84"/>
      <c r="Z379" s="84"/>
    </row>
    <row r="380" spans="5:26" ht="39.75" customHeight="1">
      <c r="E380" s="84"/>
      <c r="F380" s="84"/>
      <c r="Y380" s="84"/>
      <c r="Z380" s="84"/>
    </row>
    <row r="381" spans="5:26" ht="39.75" customHeight="1">
      <c r="E381" s="84"/>
      <c r="F381" s="84"/>
      <c r="Y381" s="84"/>
      <c r="Z381" s="84"/>
    </row>
    <row r="382" spans="5:26" ht="39.75" customHeight="1">
      <c r="E382" s="84"/>
      <c r="F382" s="84"/>
      <c r="Y382" s="84"/>
      <c r="Z382" s="84"/>
    </row>
    <row r="383" spans="5:26" ht="39.75" customHeight="1">
      <c r="E383" s="84"/>
      <c r="F383" s="84"/>
      <c r="Y383" s="84"/>
      <c r="Z383" s="84"/>
    </row>
    <row r="384" spans="5:26" ht="39.75" customHeight="1">
      <c r="E384" s="84"/>
      <c r="F384" s="84"/>
      <c r="Y384" s="84"/>
      <c r="Z384" s="84"/>
    </row>
    <row r="385" spans="5:26" ht="39.75" customHeight="1">
      <c r="E385" s="84"/>
      <c r="F385" s="84"/>
      <c r="Y385" s="84"/>
      <c r="Z385" s="84"/>
    </row>
    <row r="386" spans="5:26" ht="39.75" customHeight="1">
      <c r="E386" s="84"/>
      <c r="F386" s="84"/>
      <c r="Y386" s="84"/>
      <c r="Z386" s="84"/>
    </row>
    <row r="387" spans="5:26" ht="39.75" customHeight="1">
      <c r="E387" s="84"/>
      <c r="F387" s="84"/>
      <c r="Y387" s="84"/>
      <c r="Z387" s="84"/>
    </row>
    <row r="388" spans="5:26" ht="39.75" customHeight="1">
      <c r="E388" s="84"/>
      <c r="F388" s="84"/>
      <c r="Y388" s="84"/>
      <c r="Z388" s="84"/>
    </row>
    <row r="389" spans="5:26" ht="39.75" customHeight="1">
      <c r="E389" s="84"/>
      <c r="F389" s="84"/>
      <c r="Y389" s="84"/>
      <c r="Z389" s="84"/>
    </row>
    <row r="390" spans="5:26" ht="39.75" customHeight="1">
      <c r="E390" s="84"/>
      <c r="F390" s="84"/>
      <c r="Y390" s="84"/>
      <c r="Z390" s="84"/>
    </row>
    <row r="391" spans="5:26" ht="39.75" customHeight="1">
      <c r="E391" s="84"/>
      <c r="F391" s="84"/>
      <c r="Y391" s="84"/>
      <c r="Z391" s="84"/>
    </row>
    <row r="392" spans="5:26" ht="39.75" customHeight="1">
      <c r="E392" s="84"/>
      <c r="F392" s="84"/>
      <c r="Y392" s="84"/>
      <c r="Z392" s="84"/>
    </row>
    <row r="393" spans="5:26" ht="39.75" customHeight="1">
      <c r="E393" s="84"/>
      <c r="F393" s="84"/>
      <c r="Y393" s="84"/>
      <c r="Z393" s="84"/>
    </row>
    <row r="394" spans="5:26" ht="39.75" customHeight="1">
      <c r="E394" s="84"/>
      <c r="F394" s="84"/>
      <c r="Y394" s="84"/>
      <c r="Z394" s="84"/>
    </row>
    <row r="395" spans="5:26" ht="39.75" customHeight="1">
      <c r="E395" s="84"/>
      <c r="F395" s="84"/>
      <c r="Y395" s="84"/>
      <c r="Z395" s="84"/>
    </row>
    <row r="396" spans="5:26" ht="39.75" customHeight="1">
      <c r="E396" s="84"/>
      <c r="F396" s="84"/>
      <c r="Y396" s="84"/>
      <c r="Z396" s="84"/>
    </row>
    <row r="397" spans="5:26" ht="39.75" customHeight="1">
      <c r="E397" s="84"/>
      <c r="F397" s="84"/>
      <c r="Y397" s="84"/>
      <c r="Z397" s="84"/>
    </row>
    <row r="398" spans="5:26" ht="39.75" customHeight="1">
      <c r="E398" s="84"/>
      <c r="F398" s="84"/>
      <c r="Y398" s="84"/>
      <c r="Z398" s="84"/>
    </row>
    <row r="399" spans="5:26" ht="39.75" customHeight="1">
      <c r="E399" s="84"/>
      <c r="F399" s="84"/>
      <c r="Y399" s="84"/>
      <c r="Z399" s="84"/>
    </row>
    <row r="400" spans="5:26" ht="39.75" customHeight="1">
      <c r="E400" s="84"/>
      <c r="F400" s="84"/>
      <c r="Y400" s="84"/>
      <c r="Z400" s="84"/>
    </row>
    <row r="401" spans="5:26" ht="39.75" customHeight="1">
      <c r="E401" s="84"/>
      <c r="F401" s="84"/>
      <c r="Y401" s="84"/>
      <c r="Z401" s="84"/>
    </row>
    <row r="402" spans="5:26" ht="39.75" customHeight="1">
      <c r="E402" s="84"/>
      <c r="F402" s="84"/>
      <c r="Y402" s="84"/>
      <c r="Z402" s="84"/>
    </row>
    <row r="403" spans="5:26" ht="39.75" customHeight="1">
      <c r="E403" s="84"/>
      <c r="F403" s="84"/>
      <c r="Y403" s="84"/>
      <c r="Z403" s="84"/>
    </row>
    <row r="404" spans="5:26" ht="39.75" customHeight="1">
      <c r="E404" s="84"/>
      <c r="F404" s="84"/>
      <c r="Y404" s="84"/>
      <c r="Z404" s="84"/>
    </row>
    <row r="405" spans="5:26" ht="39.75" customHeight="1">
      <c r="E405" s="84"/>
      <c r="F405" s="84"/>
      <c r="Y405" s="84"/>
      <c r="Z405" s="84"/>
    </row>
    <row r="406" spans="5:26" ht="39.75" customHeight="1">
      <c r="E406" s="84"/>
      <c r="F406" s="84"/>
      <c r="Y406" s="84"/>
      <c r="Z406" s="84"/>
    </row>
    <row r="407" spans="5:26" ht="39.75" customHeight="1">
      <c r="E407" s="84"/>
      <c r="F407" s="84"/>
      <c r="Y407" s="84"/>
      <c r="Z407" s="84"/>
    </row>
    <row r="408" spans="5:26" ht="39.75" customHeight="1">
      <c r="E408" s="84"/>
      <c r="F408" s="84"/>
      <c r="Y408" s="84"/>
      <c r="Z408" s="84"/>
    </row>
    <row r="409" spans="5:26" ht="39.75" customHeight="1">
      <c r="E409" s="84"/>
      <c r="F409" s="84"/>
      <c r="Y409" s="84"/>
      <c r="Z409" s="84"/>
    </row>
    <row r="410" spans="5:26" ht="39.75" customHeight="1">
      <c r="E410" s="84"/>
      <c r="F410" s="84"/>
      <c r="Y410" s="84"/>
      <c r="Z410" s="84"/>
    </row>
    <row r="411" spans="5:26" ht="39.75" customHeight="1">
      <c r="E411" s="84"/>
      <c r="F411" s="84"/>
      <c r="Y411" s="84"/>
      <c r="Z411" s="84"/>
    </row>
    <row r="412" spans="5:26" ht="39.75" customHeight="1">
      <c r="E412" s="84"/>
      <c r="F412" s="84"/>
      <c r="Y412" s="84"/>
      <c r="Z412" s="84"/>
    </row>
    <row r="413" spans="5:26" ht="39.75" customHeight="1">
      <c r="E413" s="84"/>
      <c r="F413" s="84"/>
      <c r="Y413" s="84"/>
      <c r="Z413" s="84"/>
    </row>
    <row r="414" spans="5:26" ht="39.75" customHeight="1">
      <c r="E414" s="84"/>
      <c r="F414" s="84"/>
      <c r="Y414" s="84"/>
      <c r="Z414" s="84"/>
    </row>
    <row r="415" spans="5:26" ht="39.75" customHeight="1">
      <c r="E415" s="84"/>
      <c r="F415" s="84"/>
      <c r="Y415" s="84"/>
      <c r="Z415" s="84"/>
    </row>
    <row r="416" spans="5:26" ht="39.75" customHeight="1">
      <c r="E416" s="84"/>
      <c r="F416" s="84"/>
      <c r="Y416" s="84"/>
      <c r="Z416" s="84"/>
    </row>
    <row r="417" spans="5:26" ht="39.75" customHeight="1">
      <c r="E417" s="84"/>
      <c r="F417" s="84"/>
      <c r="Y417" s="84"/>
      <c r="Z417" s="84"/>
    </row>
    <row r="418" spans="5:26" ht="39.75" customHeight="1">
      <c r="E418" s="84"/>
      <c r="F418" s="84"/>
      <c r="Y418" s="84"/>
      <c r="Z418" s="84"/>
    </row>
    <row r="419" spans="5:26" ht="39.75" customHeight="1">
      <c r="E419" s="84"/>
      <c r="F419" s="84"/>
      <c r="Y419" s="84"/>
      <c r="Z419" s="84"/>
    </row>
    <row r="420" spans="5:26" ht="39.75" customHeight="1">
      <c r="E420" s="84"/>
      <c r="F420" s="84"/>
      <c r="Y420" s="84"/>
      <c r="Z420" s="84"/>
    </row>
    <row r="421" spans="5:26" ht="39.75" customHeight="1">
      <c r="E421" s="84"/>
      <c r="F421" s="84"/>
      <c r="Y421" s="84"/>
      <c r="Z421" s="84"/>
    </row>
    <row r="422" spans="5:26" ht="39.75" customHeight="1">
      <c r="E422" s="84"/>
      <c r="F422" s="84"/>
      <c r="Y422" s="84"/>
      <c r="Z422" s="84"/>
    </row>
    <row r="423" spans="5:26" ht="39.75" customHeight="1">
      <c r="E423" s="84"/>
      <c r="F423" s="84"/>
      <c r="Y423" s="84"/>
      <c r="Z423" s="84"/>
    </row>
    <row r="424" spans="5:26" ht="39.75" customHeight="1">
      <c r="E424" s="84"/>
      <c r="F424" s="84"/>
      <c r="Y424" s="84"/>
      <c r="Z424" s="84"/>
    </row>
    <row r="425" spans="5:26" ht="39.75" customHeight="1">
      <c r="E425" s="84"/>
      <c r="F425" s="84"/>
      <c r="Y425" s="84"/>
      <c r="Z425" s="84"/>
    </row>
    <row r="426" spans="5:26" ht="39.75" customHeight="1">
      <c r="E426" s="84"/>
      <c r="F426" s="84"/>
      <c r="Y426" s="84"/>
      <c r="Z426" s="84"/>
    </row>
    <row r="427" spans="5:26" ht="39.75" customHeight="1">
      <c r="E427" s="84"/>
      <c r="F427" s="84"/>
      <c r="Y427" s="84"/>
      <c r="Z427" s="84"/>
    </row>
    <row r="428" spans="5:26" ht="39.75" customHeight="1">
      <c r="E428" s="84"/>
      <c r="F428" s="84"/>
      <c r="Y428" s="84"/>
      <c r="Z428" s="84"/>
    </row>
    <row r="429" spans="5:26" ht="39.75" customHeight="1">
      <c r="E429" s="84"/>
      <c r="F429" s="84"/>
      <c r="Y429" s="84"/>
      <c r="Z429" s="84"/>
    </row>
    <row r="430" spans="5:26" ht="39.75" customHeight="1">
      <c r="E430" s="84"/>
      <c r="F430" s="84"/>
      <c r="Y430" s="84"/>
      <c r="Z430" s="84"/>
    </row>
    <row r="431" spans="5:26" ht="39.75" customHeight="1">
      <c r="E431" s="84"/>
      <c r="F431" s="84"/>
      <c r="Y431" s="84"/>
      <c r="Z431" s="84"/>
    </row>
    <row r="432" spans="5:26" ht="39.75" customHeight="1">
      <c r="E432" s="84"/>
      <c r="F432" s="84"/>
      <c r="Y432" s="84"/>
      <c r="Z432" s="84"/>
    </row>
    <row r="433" spans="5:26" ht="39.75" customHeight="1">
      <c r="E433" s="84"/>
      <c r="F433" s="84"/>
      <c r="Y433" s="84"/>
      <c r="Z433" s="84"/>
    </row>
    <row r="434" spans="5:26" ht="39.75" customHeight="1">
      <c r="E434" s="84"/>
      <c r="F434" s="84"/>
      <c r="Y434" s="84"/>
      <c r="Z434" s="84"/>
    </row>
    <row r="435" spans="5:26" ht="39.75" customHeight="1">
      <c r="E435" s="84"/>
      <c r="F435" s="84"/>
      <c r="Y435" s="84"/>
      <c r="Z435" s="84"/>
    </row>
    <row r="436" spans="5:26" ht="39.75" customHeight="1">
      <c r="E436" s="84"/>
      <c r="F436" s="84"/>
      <c r="Y436" s="84"/>
      <c r="Z436" s="84"/>
    </row>
    <row r="437" spans="5:26" ht="39.75" customHeight="1">
      <c r="E437" s="84"/>
      <c r="F437" s="84"/>
      <c r="Y437" s="84"/>
      <c r="Z437" s="84"/>
    </row>
    <row r="438" spans="5:26" ht="39.75" customHeight="1">
      <c r="E438" s="84"/>
      <c r="F438" s="84"/>
      <c r="Y438" s="84"/>
      <c r="Z438" s="84"/>
    </row>
    <row r="439" spans="5:26" ht="39.75" customHeight="1">
      <c r="E439" s="84"/>
      <c r="F439" s="84"/>
      <c r="Y439" s="84"/>
      <c r="Z439" s="84"/>
    </row>
    <row r="440" spans="5:26" ht="39.75" customHeight="1">
      <c r="E440" s="84"/>
      <c r="F440" s="84"/>
      <c r="Y440" s="84"/>
      <c r="Z440" s="84"/>
    </row>
    <row r="441" spans="5:26" ht="39.75" customHeight="1">
      <c r="E441" s="84"/>
      <c r="F441" s="84"/>
      <c r="Y441" s="84"/>
      <c r="Z441" s="84"/>
    </row>
    <row r="442" spans="5:26" ht="39.75" customHeight="1">
      <c r="E442" s="84"/>
      <c r="F442" s="84"/>
      <c r="Y442" s="84"/>
      <c r="Z442" s="84"/>
    </row>
    <row r="443" spans="5:26" ht="39.75" customHeight="1">
      <c r="E443" s="84"/>
      <c r="F443" s="84"/>
      <c r="Y443" s="84"/>
      <c r="Z443" s="84"/>
    </row>
    <row r="444" spans="5:26" ht="39.75" customHeight="1">
      <c r="E444" s="84"/>
      <c r="F444" s="84"/>
      <c r="Y444" s="84"/>
      <c r="Z444" s="84"/>
    </row>
    <row r="445" spans="5:26" ht="39.75" customHeight="1">
      <c r="E445" s="84"/>
      <c r="F445" s="84"/>
      <c r="Y445" s="84"/>
      <c r="Z445" s="84"/>
    </row>
    <row r="446" spans="5:26" ht="39.75" customHeight="1">
      <c r="E446" s="84"/>
      <c r="F446" s="84"/>
      <c r="Y446" s="84"/>
      <c r="Z446" s="84"/>
    </row>
    <row r="447" spans="5:26" ht="39.75" customHeight="1">
      <c r="E447" s="84"/>
      <c r="F447" s="84"/>
      <c r="Y447" s="84"/>
      <c r="Z447" s="84"/>
    </row>
    <row r="448" spans="5:26" ht="39.75" customHeight="1">
      <c r="E448" s="84"/>
      <c r="F448" s="84"/>
      <c r="Y448" s="84"/>
      <c r="Z448" s="84"/>
    </row>
    <row r="449" spans="5:26" ht="39.75" customHeight="1">
      <c r="E449" s="84"/>
      <c r="F449" s="84"/>
      <c r="Y449" s="84"/>
      <c r="Z449" s="84"/>
    </row>
    <row r="450" spans="5:26" ht="39.75" customHeight="1">
      <c r="E450" s="84"/>
      <c r="F450" s="84"/>
      <c r="Y450" s="84"/>
      <c r="Z450" s="84"/>
    </row>
    <row r="451" spans="5:26" ht="39.75" customHeight="1">
      <c r="E451" s="84"/>
      <c r="F451" s="84"/>
      <c r="Y451" s="84"/>
      <c r="Z451" s="84"/>
    </row>
    <row r="452" spans="5:26" ht="39.75" customHeight="1">
      <c r="E452" s="84"/>
      <c r="F452" s="84"/>
      <c r="Y452" s="84"/>
      <c r="Z452" s="84"/>
    </row>
    <row r="453" spans="5:26" ht="39.75" customHeight="1">
      <c r="E453" s="84"/>
      <c r="F453" s="84"/>
      <c r="Y453" s="84"/>
      <c r="Z453" s="84"/>
    </row>
    <row r="454" spans="5:26" ht="39.75" customHeight="1">
      <c r="E454" s="84"/>
      <c r="F454" s="84"/>
      <c r="Y454" s="84"/>
      <c r="Z454" s="84"/>
    </row>
    <row r="455" spans="5:26" ht="39.75" customHeight="1">
      <c r="E455" s="84"/>
      <c r="F455" s="84"/>
      <c r="Y455" s="84"/>
      <c r="Z455" s="84"/>
    </row>
    <row r="456" spans="5:26" ht="39.75" customHeight="1">
      <c r="E456" s="84"/>
      <c r="F456" s="84"/>
      <c r="Y456" s="84"/>
      <c r="Z456" s="84"/>
    </row>
    <row r="457" spans="5:26" ht="39.75" customHeight="1">
      <c r="E457" s="84"/>
      <c r="F457" s="84"/>
      <c r="Y457" s="84"/>
      <c r="Z457" s="84"/>
    </row>
    <row r="458" spans="5:26" ht="39.75" customHeight="1">
      <c r="E458" s="84"/>
      <c r="F458" s="84"/>
      <c r="Y458" s="84"/>
      <c r="Z458" s="84"/>
    </row>
    <row r="459" spans="5:26" ht="39.75" customHeight="1">
      <c r="E459" s="84"/>
      <c r="F459" s="84"/>
      <c r="Y459" s="84"/>
      <c r="Z459" s="84"/>
    </row>
    <row r="460" spans="5:26" ht="39.75" customHeight="1">
      <c r="E460" s="84"/>
      <c r="F460" s="84"/>
      <c r="Y460" s="84"/>
      <c r="Z460" s="84"/>
    </row>
    <row r="461" spans="5:26" ht="39.75" customHeight="1">
      <c r="E461" s="84"/>
      <c r="F461" s="84"/>
      <c r="Y461" s="84"/>
      <c r="Z461" s="84"/>
    </row>
    <row r="462" spans="5:26" ht="39.75" customHeight="1">
      <c r="E462" s="84"/>
      <c r="F462" s="84"/>
      <c r="Y462" s="84"/>
      <c r="Z462" s="84"/>
    </row>
    <row r="463" spans="5:26" ht="39.75" customHeight="1">
      <c r="E463" s="84"/>
      <c r="F463" s="84"/>
      <c r="Y463" s="84"/>
      <c r="Z463" s="84"/>
    </row>
    <row r="464" spans="5:26" ht="39.75" customHeight="1">
      <c r="E464" s="84"/>
      <c r="F464" s="84"/>
      <c r="Y464" s="84"/>
      <c r="Z464" s="84"/>
    </row>
    <row r="465" spans="5:26" ht="39.75" customHeight="1">
      <c r="E465" s="84"/>
      <c r="F465" s="84"/>
      <c r="Y465" s="84"/>
      <c r="Z465" s="84"/>
    </row>
    <row r="466" spans="5:26" ht="39.75" customHeight="1">
      <c r="E466" s="84"/>
      <c r="F466" s="84"/>
      <c r="Y466" s="84"/>
      <c r="Z466" s="84"/>
    </row>
    <row r="467" spans="5:26" ht="39.75" customHeight="1">
      <c r="E467" s="84"/>
      <c r="F467" s="84"/>
      <c r="Y467" s="84"/>
      <c r="Z467" s="84"/>
    </row>
    <row r="468" spans="5:26" ht="39.75" customHeight="1">
      <c r="E468" s="84"/>
      <c r="F468" s="84"/>
      <c r="Y468" s="84"/>
      <c r="Z468" s="84"/>
    </row>
    <row r="469" spans="5:26" ht="39.75" customHeight="1">
      <c r="E469" s="84"/>
      <c r="F469" s="84"/>
      <c r="Y469" s="84"/>
      <c r="Z469" s="84"/>
    </row>
    <row r="470" spans="5:26" ht="39.75" customHeight="1">
      <c r="E470" s="84"/>
      <c r="F470" s="84"/>
      <c r="Y470" s="84"/>
      <c r="Z470" s="84"/>
    </row>
    <row r="471" spans="5:26" ht="39.75" customHeight="1">
      <c r="E471" s="84"/>
      <c r="F471" s="84"/>
      <c r="Y471" s="84"/>
      <c r="Z471" s="84"/>
    </row>
    <row r="472" spans="5:26" ht="39.75" customHeight="1">
      <c r="E472" s="84"/>
      <c r="F472" s="84"/>
      <c r="Y472" s="84"/>
      <c r="Z472" s="84"/>
    </row>
    <row r="473" spans="5:26" ht="39.75" customHeight="1">
      <c r="E473" s="84"/>
      <c r="F473" s="84"/>
      <c r="Y473" s="84"/>
      <c r="Z473" s="84"/>
    </row>
    <row r="474" spans="5:26" ht="39.75" customHeight="1">
      <c r="E474" s="84"/>
      <c r="F474" s="84"/>
      <c r="Y474" s="84"/>
      <c r="Z474" s="84"/>
    </row>
    <row r="475" spans="5:26" ht="39.75" customHeight="1">
      <c r="E475" s="84"/>
      <c r="F475" s="84"/>
      <c r="Y475" s="84"/>
      <c r="Z475" s="84"/>
    </row>
    <row r="476" spans="5:26" ht="39.75" customHeight="1">
      <c r="E476" s="84"/>
      <c r="F476" s="84"/>
      <c r="Y476" s="84"/>
      <c r="Z476" s="84"/>
    </row>
    <row r="477" spans="5:26" ht="39.75" customHeight="1">
      <c r="E477" s="84"/>
      <c r="F477" s="84"/>
      <c r="Y477" s="84"/>
      <c r="Z477" s="84"/>
    </row>
    <row r="478" spans="5:26" ht="39.75" customHeight="1">
      <c r="E478" s="84"/>
      <c r="F478" s="84"/>
      <c r="Y478" s="84"/>
      <c r="Z478" s="84"/>
    </row>
    <row r="479" spans="5:26" ht="39.75" customHeight="1">
      <c r="E479" s="84"/>
      <c r="F479" s="84"/>
      <c r="Y479" s="84"/>
      <c r="Z479" s="84"/>
    </row>
    <row r="480" spans="5:26" ht="39.75" customHeight="1">
      <c r="E480" s="84"/>
      <c r="F480" s="84"/>
      <c r="Y480" s="84"/>
      <c r="Z480" s="84"/>
    </row>
    <row r="481" spans="5:26" ht="39.75" customHeight="1">
      <c r="E481" s="84"/>
      <c r="F481" s="84"/>
      <c r="Y481" s="84"/>
      <c r="Z481" s="84"/>
    </row>
    <row r="482" spans="5:26" ht="39.75" customHeight="1">
      <c r="E482" s="84"/>
      <c r="F482" s="84"/>
      <c r="Y482" s="84"/>
      <c r="Z482" s="84"/>
    </row>
    <row r="483" spans="5:26" ht="39.75" customHeight="1">
      <c r="E483" s="84"/>
      <c r="F483" s="84"/>
      <c r="Y483" s="84"/>
      <c r="Z483" s="84"/>
    </row>
    <row r="484" spans="5:26" ht="39.75" customHeight="1">
      <c r="E484" s="84"/>
      <c r="F484" s="84"/>
      <c r="Y484" s="84"/>
      <c r="Z484" s="84"/>
    </row>
    <row r="485" spans="5:26" ht="39.75" customHeight="1">
      <c r="E485" s="84"/>
      <c r="F485" s="84"/>
      <c r="Y485" s="84"/>
      <c r="Z485" s="84"/>
    </row>
    <row r="486" spans="5:26" ht="39.75" customHeight="1">
      <c r="E486" s="84"/>
      <c r="F486" s="84"/>
      <c r="Y486" s="84"/>
      <c r="Z486" s="84"/>
    </row>
    <row r="487" spans="5:26" ht="39.75" customHeight="1">
      <c r="E487" s="84"/>
      <c r="F487" s="84"/>
      <c r="Y487" s="84"/>
      <c r="Z487" s="84"/>
    </row>
    <row r="488" spans="5:26" ht="39.75" customHeight="1">
      <c r="E488" s="84"/>
      <c r="F488" s="84"/>
      <c r="Y488" s="84"/>
      <c r="Z488" s="84"/>
    </row>
    <row r="489" spans="5:26" ht="39.75" customHeight="1">
      <c r="E489" s="84"/>
      <c r="F489" s="84"/>
      <c r="Y489" s="84"/>
      <c r="Z489" s="84"/>
    </row>
    <row r="490" spans="5:26" ht="39.75" customHeight="1">
      <c r="E490" s="84"/>
      <c r="F490" s="84"/>
      <c r="Y490" s="84"/>
      <c r="Z490" s="84"/>
    </row>
    <row r="491" spans="5:26" ht="39.75" customHeight="1">
      <c r="E491" s="84"/>
      <c r="F491" s="84"/>
      <c r="Y491" s="84"/>
      <c r="Z491" s="84"/>
    </row>
    <row r="492" spans="5:26" ht="39.75" customHeight="1">
      <c r="E492" s="84"/>
      <c r="F492" s="84"/>
      <c r="Y492" s="84"/>
      <c r="Z492" s="84"/>
    </row>
    <row r="493" spans="5:26" ht="39.75" customHeight="1">
      <c r="E493" s="84"/>
      <c r="F493" s="84"/>
      <c r="Y493" s="84"/>
      <c r="Z493" s="84"/>
    </row>
    <row r="494" spans="5:26" ht="39.75" customHeight="1">
      <c r="E494" s="84"/>
      <c r="F494" s="84"/>
      <c r="Y494" s="84"/>
      <c r="Z494" s="84"/>
    </row>
    <row r="495" spans="5:26" ht="39.75" customHeight="1">
      <c r="E495" s="84"/>
      <c r="F495" s="84"/>
      <c r="Y495" s="84"/>
      <c r="Z495" s="84"/>
    </row>
    <row r="496" spans="5:26" ht="39.75" customHeight="1">
      <c r="E496" s="84"/>
      <c r="F496" s="84"/>
      <c r="Y496" s="84"/>
      <c r="Z496" s="84"/>
    </row>
    <row r="497" spans="5:26" ht="39.75" customHeight="1">
      <c r="E497" s="84"/>
      <c r="F497" s="84"/>
      <c r="Y497" s="84"/>
      <c r="Z497" s="84"/>
    </row>
    <row r="498" spans="5:26" ht="39.75" customHeight="1">
      <c r="E498" s="84"/>
      <c r="F498" s="84"/>
      <c r="Y498" s="84"/>
      <c r="Z498" s="84"/>
    </row>
    <row r="499" spans="5:26" ht="39.75" customHeight="1">
      <c r="E499" s="84"/>
      <c r="F499" s="84"/>
      <c r="Y499" s="84"/>
      <c r="Z499" s="84"/>
    </row>
    <row r="500" spans="5:26" ht="39.75" customHeight="1">
      <c r="E500" s="84"/>
      <c r="F500" s="84"/>
      <c r="Y500" s="84"/>
      <c r="Z500" s="84"/>
    </row>
    <row r="501" spans="5:26" ht="39.75" customHeight="1">
      <c r="E501" s="84"/>
      <c r="F501" s="84"/>
      <c r="Y501" s="84"/>
      <c r="Z501" s="84"/>
    </row>
    <row r="502" spans="5:26" ht="39.75" customHeight="1">
      <c r="E502" s="84"/>
      <c r="F502" s="84"/>
      <c r="Y502" s="84"/>
      <c r="Z502" s="84"/>
    </row>
    <row r="503" spans="5:26" ht="39.75" customHeight="1">
      <c r="E503" s="84"/>
      <c r="F503" s="84"/>
      <c r="Y503" s="84"/>
      <c r="Z503" s="84"/>
    </row>
    <row r="504" spans="5:26" ht="39.75" customHeight="1">
      <c r="E504" s="84"/>
      <c r="F504" s="84"/>
      <c r="Y504" s="84"/>
      <c r="Z504" s="84"/>
    </row>
    <row r="505" spans="5:26" ht="39.75" customHeight="1">
      <c r="E505" s="84"/>
      <c r="F505" s="84"/>
      <c r="Y505" s="84"/>
      <c r="Z505" s="84"/>
    </row>
    <row r="506" spans="5:26" ht="39.75" customHeight="1">
      <c r="E506" s="84"/>
      <c r="F506" s="84"/>
      <c r="Y506" s="84"/>
      <c r="Z506" s="84"/>
    </row>
    <row r="507" spans="5:26" ht="39.75" customHeight="1">
      <c r="E507" s="84"/>
      <c r="F507" s="84"/>
      <c r="Y507" s="84"/>
      <c r="Z507" s="84"/>
    </row>
    <row r="508" spans="5:26" ht="39.75" customHeight="1">
      <c r="E508" s="84"/>
      <c r="F508" s="84"/>
      <c r="Y508" s="84"/>
      <c r="Z508" s="84"/>
    </row>
    <row r="509" spans="5:26" ht="39.75" customHeight="1">
      <c r="E509" s="84"/>
      <c r="F509" s="84"/>
      <c r="Y509" s="84"/>
      <c r="Z509" s="84"/>
    </row>
    <row r="510" spans="5:26" ht="39.75" customHeight="1">
      <c r="E510" s="84"/>
      <c r="F510" s="84"/>
      <c r="Y510" s="84"/>
      <c r="Z510" s="84"/>
    </row>
    <row r="511" spans="5:26" ht="39.75" customHeight="1">
      <c r="E511" s="84"/>
      <c r="F511" s="84"/>
      <c r="Y511" s="84"/>
      <c r="Z511" s="84"/>
    </row>
    <row r="512" spans="5:26" ht="39.75" customHeight="1">
      <c r="E512" s="84"/>
      <c r="F512" s="84"/>
      <c r="Y512" s="84"/>
      <c r="Z512" s="84"/>
    </row>
    <row r="513" spans="5:26" ht="39.75" customHeight="1">
      <c r="E513" s="84"/>
      <c r="F513" s="84"/>
      <c r="Y513" s="84"/>
      <c r="Z513" s="84"/>
    </row>
    <row r="514" spans="5:26" ht="39.75" customHeight="1">
      <c r="E514" s="84"/>
      <c r="F514" s="84"/>
      <c r="Y514" s="84"/>
      <c r="Z514" s="84"/>
    </row>
    <row r="515" spans="5:26" ht="39.75" customHeight="1">
      <c r="E515" s="84"/>
      <c r="F515" s="84"/>
      <c r="Y515" s="84"/>
      <c r="Z515" s="84"/>
    </row>
    <row r="516" spans="5:26" ht="39.75" customHeight="1">
      <c r="E516" s="84"/>
      <c r="F516" s="84"/>
      <c r="Y516" s="84"/>
      <c r="Z516" s="84"/>
    </row>
    <row r="517" spans="5:26" ht="39.75" customHeight="1">
      <c r="E517" s="84"/>
      <c r="F517" s="84"/>
      <c r="Y517" s="84"/>
      <c r="Z517" s="84"/>
    </row>
    <row r="518" spans="5:26" ht="39.75" customHeight="1">
      <c r="E518" s="84"/>
      <c r="F518" s="84"/>
      <c r="Y518" s="84"/>
      <c r="Z518" s="84"/>
    </row>
    <row r="519" spans="5:26" ht="39.75" customHeight="1">
      <c r="E519" s="84"/>
      <c r="F519" s="84"/>
      <c r="Y519" s="84"/>
      <c r="Z519" s="84"/>
    </row>
    <row r="520" spans="5:26" ht="39.75" customHeight="1">
      <c r="E520" s="84"/>
      <c r="F520" s="84"/>
      <c r="Y520" s="84"/>
      <c r="Z520" s="84"/>
    </row>
    <row r="521" spans="5:26" ht="39.75" customHeight="1">
      <c r="E521" s="84"/>
      <c r="F521" s="84"/>
      <c r="Y521" s="84"/>
      <c r="Z521" s="84"/>
    </row>
    <row r="522" spans="5:26" ht="39.75" customHeight="1">
      <c r="E522" s="84"/>
      <c r="F522" s="84"/>
      <c r="Y522" s="84"/>
      <c r="Z522" s="84"/>
    </row>
    <row r="523" spans="5:26" ht="39.75" customHeight="1">
      <c r="E523" s="84"/>
      <c r="F523" s="84"/>
      <c r="Y523" s="84"/>
      <c r="Z523" s="84"/>
    </row>
    <row r="524" spans="5:26" ht="39.75" customHeight="1">
      <c r="E524" s="84"/>
      <c r="F524" s="84"/>
      <c r="Y524" s="84"/>
      <c r="Z524" s="84"/>
    </row>
    <row r="525" spans="5:26" ht="39.75" customHeight="1">
      <c r="E525" s="84"/>
      <c r="F525" s="84"/>
      <c r="Y525" s="84"/>
      <c r="Z525" s="84"/>
    </row>
    <row r="526" spans="5:26" ht="39.75" customHeight="1">
      <c r="E526" s="84"/>
      <c r="F526" s="84"/>
      <c r="Y526" s="84"/>
      <c r="Z526" s="84"/>
    </row>
    <row r="527" spans="5:26" ht="39.75" customHeight="1">
      <c r="E527" s="84"/>
      <c r="F527" s="84"/>
      <c r="Y527" s="84"/>
      <c r="Z527" s="84"/>
    </row>
    <row r="528" spans="5:26" ht="39.75" customHeight="1">
      <c r="E528" s="84"/>
      <c r="F528" s="84"/>
      <c r="Y528" s="84"/>
      <c r="Z528" s="84"/>
    </row>
    <row r="529" spans="5:26" ht="39.75" customHeight="1">
      <c r="E529" s="84"/>
      <c r="F529" s="84"/>
      <c r="Y529" s="84"/>
      <c r="Z529" s="84"/>
    </row>
    <row r="530" spans="5:26" ht="39.75" customHeight="1">
      <c r="E530" s="84"/>
      <c r="F530" s="84"/>
      <c r="Y530" s="84"/>
      <c r="Z530" s="84"/>
    </row>
    <row r="531" spans="5:26" ht="39.75" customHeight="1">
      <c r="E531" s="84"/>
      <c r="F531" s="84"/>
      <c r="Y531" s="84"/>
      <c r="Z531" s="84"/>
    </row>
    <row r="532" spans="5:26" ht="39.75" customHeight="1">
      <c r="E532" s="84"/>
      <c r="F532" s="84"/>
      <c r="Y532" s="84"/>
      <c r="Z532" s="84"/>
    </row>
    <row r="533" spans="5:26" ht="39.75" customHeight="1">
      <c r="E533" s="84"/>
      <c r="F533" s="84"/>
      <c r="Y533" s="84"/>
      <c r="Z533" s="84"/>
    </row>
    <row r="534" spans="5:26" ht="39.75" customHeight="1">
      <c r="E534" s="84"/>
      <c r="F534" s="84"/>
      <c r="Y534" s="84"/>
      <c r="Z534" s="84"/>
    </row>
    <row r="535" spans="5:26" ht="39.75" customHeight="1">
      <c r="E535" s="84"/>
      <c r="F535" s="84"/>
      <c r="Y535" s="84"/>
      <c r="Z535" s="84"/>
    </row>
    <row r="536" spans="5:26" ht="39.75" customHeight="1">
      <c r="E536" s="84"/>
      <c r="F536" s="84"/>
      <c r="Y536" s="84"/>
      <c r="Z536" s="84"/>
    </row>
    <row r="537" spans="5:26" ht="39.75" customHeight="1">
      <c r="E537" s="84"/>
      <c r="F537" s="84"/>
      <c r="Y537" s="84"/>
      <c r="Z537" s="84"/>
    </row>
    <row r="538" spans="5:26" ht="39.75" customHeight="1">
      <c r="E538" s="84"/>
      <c r="F538" s="84"/>
      <c r="Y538" s="84"/>
      <c r="Z538" s="84"/>
    </row>
    <row r="539" spans="5:26" ht="39.75" customHeight="1">
      <c r="E539" s="84"/>
      <c r="F539" s="84"/>
      <c r="Y539" s="84"/>
      <c r="Z539" s="84"/>
    </row>
    <row r="540" spans="5:26" ht="39.75" customHeight="1">
      <c r="E540" s="84"/>
      <c r="F540" s="84"/>
      <c r="Y540" s="84"/>
      <c r="Z540" s="84"/>
    </row>
    <row r="541" spans="5:26" ht="39.75" customHeight="1">
      <c r="E541" s="84"/>
      <c r="F541" s="84"/>
      <c r="Y541" s="84"/>
      <c r="Z541" s="84"/>
    </row>
    <row r="542" spans="5:26" ht="39.75" customHeight="1">
      <c r="E542" s="84"/>
      <c r="F542" s="84"/>
      <c r="Y542" s="84"/>
      <c r="Z542" s="84"/>
    </row>
    <row r="543" spans="5:26" ht="39.75" customHeight="1">
      <c r="E543" s="84"/>
      <c r="F543" s="84"/>
      <c r="Y543" s="84"/>
      <c r="Z543" s="84"/>
    </row>
    <row r="544" spans="5:26" ht="39.75" customHeight="1">
      <c r="E544" s="84"/>
      <c r="F544" s="84"/>
      <c r="Y544" s="84"/>
      <c r="Z544" s="84"/>
    </row>
    <row r="545" spans="5:26" ht="39.75" customHeight="1">
      <c r="E545" s="84"/>
      <c r="F545" s="84"/>
      <c r="Y545" s="84"/>
      <c r="Z545" s="84"/>
    </row>
    <row r="546" spans="5:26" ht="39.75" customHeight="1">
      <c r="E546" s="84"/>
      <c r="F546" s="84"/>
      <c r="Y546" s="84"/>
      <c r="Z546" s="84"/>
    </row>
    <row r="547" spans="5:26" ht="39.75" customHeight="1">
      <c r="E547" s="84"/>
      <c r="F547" s="84"/>
      <c r="Y547" s="84"/>
      <c r="Z547" s="84"/>
    </row>
    <row r="548" spans="5:26" ht="39.75" customHeight="1">
      <c r="E548" s="84"/>
      <c r="F548" s="84"/>
      <c r="Y548" s="84"/>
      <c r="Z548" s="84"/>
    </row>
    <row r="549" spans="5:26" ht="39.75" customHeight="1">
      <c r="E549" s="84"/>
      <c r="F549" s="84"/>
      <c r="Y549" s="84"/>
      <c r="Z549" s="84"/>
    </row>
    <row r="550" spans="5:26" ht="39.75" customHeight="1">
      <c r="E550" s="84"/>
      <c r="F550" s="84"/>
      <c r="Y550" s="84"/>
      <c r="Z550" s="84"/>
    </row>
    <row r="551" spans="5:26" ht="39.75" customHeight="1">
      <c r="E551" s="84"/>
      <c r="F551" s="84"/>
      <c r="Y551" s="84"/>
      <c r="Z551" s="84"/>
    </row>
    <row r="552" spans="5:26" ht="39.75" customHeight="1">
      <c r="E552" s="84"/>
      <c r="F552" s="84"/>
      <c r="Y552" s="84"/>
      <c r="Z552" s="84"/>
    </row>
    <row r="553" spans="5:26" ht="39.75" customHeight="1">
      <c r="E553" s="84"/>
      <c r="F553" s="84"/>
      <c r="Y553" s="84"/>
      <c r="Z553" s="84"/>
    </row>
    <row r="554" spans="5:26" ht="39.75" customHeight="1">
      <c r="E554" s="84"/>
      <c r="F554" s="84"/>
      <c r="Y554" s="84"/>
      <c r="Z554" s="84"/>
    </row>
    <row r="555" spans="5:26" ht="39.75" customHeight="1">
      <c r="E555" s="84"/>
      <c r="F555" s="84"/>
      <c r="Y555" s="84"/>
      <c r="Z555" s="84"/>
    </row>
    <row r="556" spans="5:26" ht="39.75" customHeight="1">
      <c r="E556" s="84"/>
      <c r="F556" s="84"/>
      <c r="Y556" s="84"/>
      <c r="Z556" s="84"/>
    </row>
    <row r="557" spans="5:26" ht="39.75" customHeight="1">
      <c r="E557" s="84"/>
      <c r="F557" s="84"/>
      <c r="Y557" s="84"/>
      <c r="Z557" s="84"/>
    </row>
    <row r="558" spans="5:26" ht="39.75" customHeight="1">
      <c r="E558" s="84"/>
      <c r="F558" s="84"/>
      <c r="Y558" s="84"/>
      <c r="Z558" s="84"/>
    </row>
    <row r="559" spans="5:26" ht="39.75" customHeight="1">
      <c r="E559" s="84"/>
      <c r="F559" s="84"/>
      <c r="Y559" s="84"/>
      <c r="Z559" s="84"/>
    </row>
    <row r="560" spans="5:26" ht="39.75" customHeight="1">
      <c r="E560" s="84"/>
      <c r="F560" s="84"/>
      <c r="Y560" s="84"/>
      <c r="Z560" s="84"/>
    </row>
    <row r="561" spans="5:26" ht="39.75" customHeight="1">
      <c r="E561" s="84"/>
      <c r="F561" s="84"/>
      <c r="Y561" s="84"/>
      <c r="Z561" s="84"/>
    </row>
    <row r="562" spans="5:26" ht="39.75" customHeight="1">
      <c r="E562" s="84"/>
      <c r="F562" s="84"/>
      <c r="Y562" s="84"/>
      <c r="Z562" s="84"/>
    </row>
    <row r="563" spans="5:26" ht="39.75" customHeight="1">
      <c r="E563" s="84"/>
      <c r="F563" s="84"/>
      <c r="Y563" s="84"/>
      <c r="Z563" s="84"/>
    </row>
    <row r="564" spans="5:26" ht="39.75" customHeight="1">
      <c r="E564" s="84"/>
      <c r="F564" s="84"/>
      <c r="Y564" s="84"/>
      <c r="Z564" s="84"/>
    </row>
    <row r="565" spans="5:26" ht="39.75" customHeight="1">
      <c r="E565" s="84"/>
      <c r="F565" s="84"/>
      <c r="Y565" s="84"/>
      <c r="Z565" s="84"/>
    </row>
    <row r="566" spans="5:26" ht="39.75" customHeight="1">
      <c r="E566" s="84"/>
      <c r="F566" s="84"/>
      <c r="Y566" s="84"/>
      <c r="Z566" s="84"/>
    </row>
    <row r="567" spans="5:26" ht="39.75" customHeight="1">
      <c r="E567" s="84"/>
      <c r="F567" s="84"/>
      <c r="Y567" s="84"/>
      <c r="Z567" s="84"/>
    </row>
    <row r="568" spans="5:26" ht="39.75" customHeight="1">
      <c r="E568" s="84"/>
      <c r="F568" s="84"/>
      <c r="Y568" s="84"/>
      <c r="Z568" s="84"/>
    </row>
    <row r="569" spans="5:26" ht="39.75" customHeight="1">
      <c r="E569" s="84"/>
      <c r="F569" s="84"/>
      <c r="Y569" s="84"/>
      <c r="Z569" s="84"/>
    </row>
    <row r="570" spans="5:26" ht="39.75" customHeight="1">
      <c r="E570" s="84"/>
      <c r="F570" s="84"/>
      <c r="Y570" s="84"/>
      <c r="Z570" s="84"/>
    </row>
    <row r="571" spans="5:26" ht="39.75" customHeight="1">
      <c r="E571" s="84"/>
      <c r="F571" s="84"/>
      <c r="Y571" s="84"/>
      <c r="Z571" s="84"/>
    </row>
    <row r="572" spans="5:26" ht="39.75" customHeight="1">
      <c r="E572" s="84"/>
      <c r="F572" s="84"/>
      <c r="Y572" s="84"/>
      <c r="Z572" s="84"/>
    </row>
    <row r="573" spans="5:26" ht="39.75" customHeight="1">
      <c r="E573" s="84"/>
      <c r="F573" s="84"/>
      <c r="Y573" s="84"/>
      <c r="Z573" s="84"/>
    </row>
    <row r="574" spans="5:26" ht="39.75" customHeight="1">
      <c r="E574" s="84"/>
      <c r="F574" s="84"/>
      <c r="Y574" s="84"/>
      <c r="Z574" s="84"/>
    </row>
    <row r="575" spans="5:26" ht="39.75" customHeight="1">
      <c r="E575" s="84"/>
      <c r="F575" s="84"/>
      <c r="Y575" s="84"/>
      <c r="Z575" s="84"/>
    </row>
    <row r="576" spans="5:26" ht="39.75" customHeight="1">
      <c r="E576" s="84"/>
      <c r="F576" s="84"/>
      <c r="Y576" s="84"/>
      <c r="Z576" s="84"/>
    </row>
    <row r="577" spans="5:26" ht="39.75" customHeight="1">
      <c r="E577" s="84"/>
      <c r="F577" s="84"/>
      <c r="Y577" s="84"/>
      <c r="Z577" s="84"/>
    </row>
    <row r="578" spans="5:26" ht="39.75" customHeight="1">
      <c r="E578" s="84"/>
      <c r="F578" s="84"/>
      <c r="Y578" s="84"/>
      <c r="Z578" s="84"/>
    </row>
    <row r="579" spans="5:26" ht="39.75" customHeight="1">
      <c r="E579" s="84"/>
      <c r="F579" s="84"/>
      <c r="Y579" s="84"/>
      <c r="Z579" s="84"/>
    </row>
    <row r="580" spans="5:26" ht="39.75" customHeight="1">
      <c r="E580" s="84"/>
      <c r="F580" s="84"/>
      <c r="Y580" s="84"/>
      <c r="Z580" s="84"/>
    </row>
    <row r="581" spans="5:26" ht="39.75" customHeight="1">
      <c r="E581" s="84"/>
      <c r="F581" s="84"/>
      <c r="Y581" s="84"/>
      <c r="Z581" s="84"/>
    </row>
    <row r="582" spans="5:26" ht="39.75" customHeight="1">
      <c r="E582" s="84"/>
      <c r="F582" s="84"/>
      <c r="Y582" s="84"/>
      <c r="Z582" s="84"/>
    </row>
    <row r="583" spans="5:26" ht="39.75" customHeight="1">
      <c r="E583" s="84"/>
      <c r="F583" s="84"/>
      <c r="Y583" s="84"/>
      <c r="Z583" s="84"/>
    </row>
    <row r="584" spans="5:26" ht="39.75" customHeight="1">
      <c r="E584" s="84"/>
      <c r="F584" s="84"/>
      <c r="Y584" s="84"/>
      <c r="Z584" s="84"/>
    </row>
    <row r="585" spans="5:26" ht="39.75" customHeight="1">
      <c r="E585" s="84"/>
      <c r="F585" s="84"/>
      <c r="Y585" s="84"/>
      <c r="Z585" s="84"/>
    </row>
    <row r="586" spans="5:26" ht="39.75" customHeight="1">
      <c r="E586" s="84"/>
      <c r="F586" s="84"/>
      <c r="Y586" s="84"/>
      <c r="Z586" s="84"/>
    </row>
    <row r="587" spans="5:26" ht="39.75" customHeight="1">
      <c r="E587" s="84"/>
      <c r="F587" s="84"/>
      <c r="Y587" s="84"/>
      <c r="Z587" s="84"/>
    </row>
    <row r="588" spans="5:26" ht="39.75" customHeight="1">
      <c r="E588" s="84"/>
      <c r="F588" s="84"/>
      <c r="Y588" s="84"/>
      <c r="Z588" s="84"/>
    </row>
    <row r="589" spans="5:26" ht="39.75" customHeight="1">
      <c r="E589" s="84"/>
      <c r="F589" s="84"/>
      <c r="Y589" s="84"/>
      <c r="Z589" s="84"/>
    </row>
    <row r="590" spans="5:26" ht="39.75" customHeight="1">
      <c r="E590" s="84"/>
      <c r="F590" s="84"/>
      <c r="Y590" s="84"/>
      <c r="Z590" s="84"/>
    </row>
    <row r="591" spans="5:26" ht="39.75" customHeight="1">
      <c r="E591" s="84"/>
      <c r="F591" s="84"/>
      <c r="Y591" s="84"/>
      <c r="Z591" s="84"/>
    </row>
    <row r="592" spans="5:26" ht="39.75" customHeight="1">
      <c r="E592" s="84"/>
      <c r="F592" s="84"/>
      <c r="Y592" s="84"/>
      <c r="Z592" s="84"/>
    </row>
    <row r="593" spans="5:26" ht="39.75" customHeight="1">
      <c r="E593" s="84"/>
      <c r="F593" s="84"/>
      <c r="Y593" s="84"/>
      <c r="Z593" s="84"/>
    </row>
    <row r="594" spans="5:26" ht="39.75" customHeight="1">
      <c r="E594" s="84"/>
      <c r="F594" s="84"/>
      <c r="Y594" s="84"/>
      <c r="Z594" s="84"/>
    </row>
    <row r="595" spans="5:26" ht="39.75" customHeight="1">
      <c r="E595" s="84"/>
      <c r="F595" s="84"/>
      <c r="Y595" s="84"/>
      <c r="Z595" s="84"/>
    </row>
    <row r="596" spans="5:26" ht="39.75" customHeight="1">
      <c r="E596" s="84"/>
      <c r="F596" s="84"/>
      <c r="Y596" s="84"/>
      <c r="Z596" s="84"/>
    </row>
    <row r="597" spans="5:26" ht="39.75" customHeight="1">
      <c r="E597" s="84"/>
      <c r="F597" s="84"/>
      <c r="Y597" s="84"/>
      <c r="Z597" s="84"/>
    </row>
    <row r="598" spans="5:26" ht="39.75" customHeight="1">
      <c r="E598" s="84"/>
      <c r="F598" s="84"/>
      <c r="Y598" s="84"/>
      <c r="Z598" s="84"/>
    </row>
    <row r="599" spans="5:26" ht="39.75" customHeight="1">
      <c r="E599" s="84"/>
      <c r="F599" s="84"/>
      <c r="Y599" s="84"/>
      <c r="Z599" s="84"/>
    </row>
    <row r="600" spans="5:26" ht="39.75" customHeight="1">
      <c r="E600" s="84"/>
      <c r="F600" s="84"/>
      <c r="Y600" s="84"/>
      <c r="Z600" s="84"/>
    </row>
    <row r="601" spans="5:26" ht="39.75" customHeight="1">
      <c r="E601" s="84"/>
      <c r="F601" s="84"/>
      <c r="Y601" s="84"/>
      <c r="Z601" s="84"/>
    </row>
    <row r="602" spans="5:26" ht="39.75" customHeight="1">
      <c r="E602" s="84"/>
      <c r="F602" s="84"/>
      <c r="Y602" s="84"/>
      <c r="Z602" s="84"/>
    </row>
    <row r="603" spans="5:26" ht="39.75" customHeight="1">
      <c r="E603" s="84"/>
      <c r="F603" s="84"/>
      <c r="Y603" s="84"/>
      <c r="Z603" s="84"/>
    </row>
    <row r="604" spans="5:26" ht="39.75" customHeight="1">
      <c r="E604" s="84"/>
      <c r="F604" s="84"/>
      <c r="Y604" s="84"/>
      <c r="Z604" s="84"/>
    </row>
    <row r="605" spans="5:26" ht="39.75" customHeight="1">
      <c r="E605" s="84"/>
      <c r="F605" s="84"/>
      <c r="Y605" s="84"/>
      <c r="Z605" s="84"/>
    </row>
    <row r="606" spans="5:26" ht="39.75" customHeight="1">
      <c r="E606" s="84"/>
      <c r="F606" s="84"/>
      <c r="Y606" s="84"/>
      <c r="Z606" s="84"/>
    </row>
    <row r="607" spans="5:26" ht="39.75" customHeight="1">
      <c r="E607" s="84"/>
      <c r="F607" s="84"/>
      <c r="Y607" s="84"/>
      <c r="Z607" s="84"/>
    </row>
    <row r="608" spans="5:26" ht="39.75" customHeight="1">
      <c r="E608" s="84"/>
      <c r="F608" s="84"/>
      <c r="Y608" s="84"/>
      <c r="Z608" s="84"/>
    </row>
    <row r="609" spans="5:26" ht="39.75" customHeight="1">
      <c r="E609" s="84"/>
      <c r="F609" s="84"/>
      <c r="Y609" s="84"/>
      <c r="Z609" s="84"/>
    </row>
    <row r="610" spans="5:26" ht="39.75" customHeight="1">
      <c r="E610" s="84"/>
      <c r="F610" s="84"/>
      <c r="Y610" s="84"/>
      <c r="Z610" s="84"/>
    </row>
    <row r="611" spans="5:26" ht="39.75" customHeight="1">
      <c r="E611" s="84"/>
      <c r="F611" s="84"/>
      <c r="Y611" s="84"/>
      <c r="Z611" s="84"/>
    </row>
    <row r="612" spans="5:26" ht="39.75" customHeight="1">
      <c r="E612" s="84"/>
      <c r="F612" s="84"/>
      <c r="Y612" s="84"/>
      <c r="Z612" s="84"/>
    </row>
    <row r="613" spans="5:26" ht="39.75" customHeight="1">
      <c r="E613" s="84"/>
      <c r="F613" s="84"/>
      <c r="Y613" s="84"/>
      <c r="Z613" s="84"/>
    </row>
    <row r="614" spans="5:26" ht="39.75" customHeight="1">
      <c r="E614" s="84"/>
      <c r="F614" s="84"/>
      <c r="Y614" s="84"/>
      <c r="Z614" s="84"/>
    </row>
    <row r="615" spans="5:26" ht="39.75" customHeight="1">
      <c r="E615" s="84"/>
      <c r="F615" s="84"/>
      <c r="Y615" s="84"/>
      <c r="Z615" s="84"/>
    </row>
    <row r="616" spans="5:26" ht="39.75" customHeight="1">
      <c r="E616" s="84"/>
      <c r="F616" s="84"/>
      <c r="Y616" s="84"/>
      <c r="Z616" s="84"/>
    </row>
    <row r="617" spans="5:26" ht="39.75" customHeight="1">
      <c r="E617" s="84"/>
      <c r="F617" s="84"/>
      <c r="Y617" s="84"/>
      <c r="Z617" s="84"/>
    </row>
    <row r="618" spans="5:26" ht="39.75" customHeight="1">
      <c r="E618" s="84"/>
      <c r="F618" s="84"/>
      <c r="Y618" s="84"/>
      <c r="Z618" s="84"/>
    </row>
    <row r="619" spans="5:26" ht="39.75" customHeight="1">
      <c r="E619" s="84"/>
      <c r="F619" s="84"/>
      <c r="Y619" s="84"/>
      <c r="Z619" s="84"/>
    </row>
    <row r="620" spans="5:26" ht="39.75" customHeight="1">
      <c r="E620" s="84"/>
      <c r="F620" s="84"/>
      <c r="Y620" s="84"/>
      <c r="Z620" s="84"/>
    </row>
    <row r="621" spans="5:26" ht="39.75" customHeight="1">
      <c r="E621" s="84"/>
      <c r="F621" s="84"/>
      <c r="Y621" s="84"/>
      <c r="Z621" s="84"/>
    </row>
    <row r="622" spans="5:26" ht="39.75" customHeight="1">
      <c r="E622" s="84"/>
      <c r="F622" s="84"/>
      <c r="Y622" s="84"/>
      <c r="Z622" s="84"/>
    </row>
    <row r="623" spans="5:26" ht="39.75" customHeight="1">
      <c r="E623" s="84"/>
      <c r="F623" s="84"/>
      <c r="Y623" s="84"/>
      <c r="Z623" s="84"/>
    </row>
    <row r="624" spans="5:26" ht="39.75" customHeight="1">
      <c r="E624" s="84"/>
      <c r="F624" s="84"/>
      <c r="Y624" s="84"/>
      <c r="Z624" s="84"/>
    </row>
    <row r="625" spans="5:26" ht="39.75" customHeight="1">
      <c r="E625" s="84"/>
      <c r="F625" s="84"/>
      <c r="Y625" s="84"/>
      <c r="Z625" s="84"/>
    </row>
    <row r="626" spans="5:26" ht="39.75" customHeight="1">
      <c r="E626" s="84"/>
      <c r="F626" s="84"/>
      <c r="Y626" s="84"/>
      <c r="Z626" s="84"/>
    </row>
    <row r="627" spans="5:26" ht="39.75" customHeight="1">
      <c r="E627" s="84"/>
      <c r="F627" s="84"/>
      <c r="Y627" s="84"/>
      <c r="Z627" s="84"/>
    </row>
    <row r="628" spans="5:26" ht="39.75" customHeight="1">
      <c r="E628" s="84"/>
      <c r="F628" s="84"/>
      <c r="Y628" s="84"/>
      <c r="Z628" s="84"/>
    </row>
    <row r="629" spans="5:26" ht="39.75" customHeight="1">
      <c r="E629" s="84"/>
      <c r="F629" s="84"/>
      <c r="Y629" s="84"/>
      <c r="Z629" s="84"/>
    </row>
    <row r="630" spans="5:26" ht="39.75" customHeight="1">
      <c r="E630" s="84"/>
      <c r="F630" s="84"/>
      <c r="Y630" s="84"/>
      <c r="Z630" s="84"/>
    </row>
    <row r="631" spans="5:26" ht="39.75" customHeight="1">
      <c r="E631" s="84"/>
      <c r="F631" s="84"/>
      <c r="Y631" s="84"/>
      <c r="Z631" s="84"/>
    </row>
    <row r="632" spans="5:26" ht="39.75" customHeight="1">
      <c r="E632" s="84"/>
      <c r="F632" s="84"/>
      <c r="Y632" s="84"/>
      <c r="Z632" s="84"/>
    </row>
    <row r="633" spans="5:26" ht="39.75" customHeight="1">
      <c r="E633" s="84"/>
      <c r="F633" s="84"/>
      <c r="Y633" s="84"/>
      <c r="Z633" s="84"/>
    </row>
    <row r="634" spans="5:26" ht="39.75" customHeight="1">
      <c r="E634" s="84"/>
      <c r="F634" s="84"/>
      <c r="Y634" s="84"/>
      <c r="Z634" s="84"/>
    </row>
    <row r="635" spans="5:26" ht="39.75" customHeight="1">
      <c r="E635" s="84"/>
      <c r="F635" s="84"/>
      <c r="Y635" s="84"/>
      <c r="Z635" s="84"/>
    </row>
    <row r="636" spans="5:26" ht="39.75" customHeight="1">
      <c r="E636" s="84"/>
      <c r="F636" s="84"/>
      <c r="Y636" s="84"/>
      <c r="Z636" s="84"/>
    </row>
    <row r="637" spans="5:26" ht="39.75" customHeight="1">
      <c r="E637" s="84"/>
      <c r="F637" s="84"/>
      <c r="Y637" s="84"/>
      <c r="Z637" s="84"/>
    </row>
    <row r="638" spans="5:26" ht="39.75" customHeight="1">
      <c r="E638" s="84"/>
      <c r="F638" s="84"/>
      <c r="Y638" s="84"/>
      <c r="Z638" s="84"/>
    </row>
    <row r="639" spans="5:26" ht="39.75" customHeight="1">
      <c r="E639" s="84"/>
      <c r="F639" s="84"/>
      <c r="Y639" s="84"/>
      <c r="Z639" s="84"/>
    </row>
    <row r="640" spans="5:26" ht="39.75" customHeight="1">
      <c r="E640" s="84"/>
      <c r="F640" s="84"/>
      <c r="Y640" s="84"/>
      <c r="Z640" s="84"/>
    </row>
    <row r="641" spans="5:26" ht="39.75" customHeight="1">
      <c r="E641" s="84"/>
      <c r="F641" s="84"/>
      <c r="Y641" s="84"/>
      <c r="Z641" s="84"/>
    </row>
    <row r="642" spans="5:26" ht="39.75" customHeight="1">
      <c r="E642" s="84"/>
      <c r="F642" s="84"/>
      <c r="Y642" s="84"/>
      <c r="Z642" s="84"/>
    </row>
    <row r="643" spans="5:26" ht="39.75" customHeight="1">
      <c r="E643" s="84"/>
      <c r="F643" s="84"/>
      <c r="Y643" s="84"/>
      <c r="Z643" s="84"/>
    </row>
    <row r="644" spans="5:26" ht="39.75" customHeight="1">
      <c r="E644" s="84"/>
      <c r="F644" s="84"/>
      <c r="Y644" s="84"/>
      <c r="Z644" s="84"/>
    </row>
    <row r="645" spans="5:26" ht="39.75" customHeight="1">
      <c r="E645" s="84"/>
      <c r="F645" s="84"/>
      <c r="Y645" s="84"/>
      <c r="Z645" s="84"/>
    </row>
    <row r="646" spans="5:26" ht="39.75" customHeight="1">
      <c r="E646" s="84"/>
      <c r="F646" s="84"/>
      <c r="Y646" s="84"/>
      <c r="Z646" s="84"/>
    </row>
    <row r="647" spans="5:26" ht="39.75" customHeight="1">
      <c r="E647" s="84"/>
      <c r="F647" s="84"/>
      <c r="Y647" s="84"/>
      <c r="Z647" s="84"/>
    </row>
    <row r="648" spans="5:26" ht="39.75" customHeight="1">
      <c r="E648" s="84"/>
      <c r="F648" s="84"/>
      <c r="Y648" s="84"/>
      <c r="Z648" s="84"/>
    </row>
    <row r="649" spans="5:26" ht="39.75" customHeight="1">
      <c r="E649" s="84"/>
      <c r="F649" s="84"/>
      <c r="Y649" s="84"/>
      <c r="Z649" s="84"/>
    </row>
    <row r="650" spans="5:26" ht="39.75" customHeight="1">
      <c r="E650" s="84"/>
      <c r="F650" s="84"/>
      <c r="Y650" s="84"/>
      <c r="Z650" s="84"/>
    </row>
    <row r="651" spans="5:26" ht="39.75" customHeight="1">
      <c r="E651" s="84"/>
      <c r="F651" s="84"/>
      <c r="Y651" s="84"/>
      <c r="Z651" s="84"/>
    </row>
    <row r="652" spans="5:26" ht="39.75" customHeight="1">
      <c r="E652" s="84"/>
      <c r="F652" s="84"/>
      <c r="Y652" s="84"/>
      <c r="Z652" s="84"/>
    </row>
    <row r="653" spans="5:26" ht="39.75" customHeight="1">
      <c r="E653" s="84"/>
      <c r="F653" s="84"/>
      <c r="Y653" s="84"/>
      <c r="Z653" s="84"/>
    </row>
    <row r="654" spans="5:26" ht="39.75" customHeight="1">
      <c r="E654" s="84"/>
      <c r="F654" s="84"/>
      <c r="Y654" s="84"/>
      <c r="Z654" s="84"/>
    </row>
    <row r="655" spans="5:26" ht="39.75" customHeight="1">
      <c r="E655" s="84"/>
      <c r="F655" s="84"/>
      <c r="Y655" s="84"/>
      <c r="Z655" s="84"/>
    </row>
    <row r="656" spans="5:26" ht="39.75" customHeight="1">
      <c r="E656" s="84"/>
      <c r="F656" s="84"/>
      <c r="Y656" s="84"/>
      <c r="Z656" s="84"/>
    </row>
    <row r="657" spans="5:26" ht="39.75" customHeight="1">
      <c r="E657" s="84"/>
      <c r="F657" s="84"/>
      <c r="Y657" s="84"/>
      <c r="Z657" s="84"/>
    </row>
    <row r="658" spans="5:26" ht="39.75" customHeight="1">
      <c r="E658" s="84"/>
      <c r="F658" s="84"/>
      <c r="Y658" s="84"/>
      <c r="Z658" s="84"/>
    </row>
    <row r="659" spans="5:26" ht="39.75" customHeight="1">
      <c r="E659" s="84"/>
      <c r="F659" s="84"/>
      <c r="Y659" s="84"/>
      <c r="Z659" s="84"/>
    </row>
    <row r="660" spans="5:26" ht="39.75" customHeight="1">
      <c r="E660" s="84"/>
      <c r="F660" s="84"/>
      <c r="Y660" s="84"/>
      <c r="Z660" s="84"/>
    </row>
    <row r="661" spans="5:26" ht="39.75" customHeight="1">
      <c r="E661" s="84"/>
      <c r="F661" s="84"/>
      <c r="Y661" s="84"/>
      <c r="Z661" s="84"/>
    </row>
    <row r="662" spans="5:26" ht="39.75" customHeight="1">
      <c r="E662" s="84"/>
      <c r="F662" s="84"/>
      <c r="Y662" s="84"/>
      <c r="Z662" s="84"/>
    </row>
    <row r="663" spans="5:26" ht="39.75" customHeight="1">
      <c r="E663" s="84"/>
      <c r="F663" s="84"/>
      <c r="Y663" s="84"/>
      <c r="Z663" s="84"/>
    </row>
    <row r="664" spans="5:26" ht="39.75" customHeight="1">
      <c r="E664" s="84"/>
      <c r="F664" s="84"/>
      <c r="Y664" s="84"/>
      <c r="Z664" s="84"/>
    </row>
    <row r="665" spans="5:26" ht="39.75" customHeight="1">
      <c r="E665" s="84"/>
      <c r="F665" s="84"/>
      <c r="Y665" s="84"/>
      <c r="Z665" s="84"/>
    </row>
    <row r="666" spans="5:26" ht="39.75" customHeight="1">
      <c r="E666" s="84"/>
      <c r="F666" s="84"/>
      <c r="Y666" s="84"/>
      <c r="Z666" s="84"/>
    </row>
    <row r="667" spans="5:26" ht="39.75" customHeight="1">
      <c r="E667" s="84"/>
      <c r="F667" s="84"/>
      <c r="Y667" s="84"/>
      <c r="Z667" s="84"/>
    </row>
    <row r="668" spans="5:26" ht="39.75" customHeight="1">
      <c r="E668" s="84"/>
      <c r="F668" s="84"/>
      <c r="Y668" s="84"/>
      <c r="Z668" s="84"/>
    </row>
    <row r="669" spans="5:26" ht="39.75" customHeight="1">
      <c r="E669" s="84"/>
      <c r="F669" s="84"/>
      <c r="Y669" s="84"/>
      <c r="Z669" s="84"/>
    </row>
    <row r="670" spans="5:26" ht="39.75" customHeight="1">
      <c r="E670" s="84"/>
      <c r="F670" s="84"/>
      <c r="Y670" s="84"/>
      <c r="Z670" s="84"/>
    </row>
    <row r="671" spans="5:26" ht="39.75" customHeight="1">
      <c r="E671" s="84"/>
      <c r="F671" s="84"/>
      <c r="Y671" s="84"/>
      <c r="Z671" s="84"/>
    </row>
    <row r="672" spans="5:26" ht="39.75" customHeight="1">
      <c r="E672" s="84"/>
      <c r="F672" s="84"/>
      <c r="Y672" s="84"/>
      <c r="Z672" s="84"/>
    </row>
    <row r="673" spans="5:26" ht="39.75" customHeight="1">
      <c r="E673" s="84"/>
      <c r="F673" s="84"/>
      <c r="Y673" s="84"/>
      <c r="Z673" s="84"/>
    </row>
    <row r="674" spans="5:26" ht="39.75" customHeight="1">
      <c r="E674" s="84"/>
      <c r="F674" s="84"/>
      <c r="Y674" s="84"/>
      <c r="Z674" s="84"/>
    </row>
    <row r="675" spans="5:26" ht="39.75" customHeight="1">
      <c r="E675" s="84"/>
      <c r="F675" s="84"/>
      <c r="Y675" s="84"/>
      <c r="Z675" s="84"/>
    </row>
    <row r="676" spans="5:26" ht="39.75" customHeight="1">
      <c r="E676" s="84"/>
      <c r="F676" s="84"/>
      <c r="Y676" s="84"/>
      <c r="Z676" s="84"/>
    </row>
    <row r="677" spans="5:26" ht="39.75" customHeight="1">
      <c r="E677" s="84"/>
      <c r="F677" s="84"/>
      <c r="Y677" s="84"/>
      <c r="Z677" s="84"/>
    </row>
    <row r="678" spans="5:26" ht="39.75" customHeight="1">
      <c r="E678" s="84"/>
      <c r="F678" s="84"/>
      <c r="Y678" s="84"/>
      <c r="Z678" s="84"/>
    </row>
    <row r="679" spans="5:26" ht="39.75" customHeight="1">
      <c r="E679" s="84"/>
      <c r="F679" s="84"/>
      <c r="Y679" s="84"/>
      <c r="Z679" s="84"/>
    </row>
    <row r="680" spans="5:26" ht="39.75" customHeight="1">
      <c r="E680" s="84"/>
      <c r="F680" s="84"/>
      <c r="Y680" s="84"/>
      <c r="Z680" s="84"/>
    </row>
    <row r="681" spans="5:26" ht="39.75" customHeight="1">
      <c r="E681" s="84"/>
      <c r="F681" s="84"/>
      <c r="Y681" s="84"/>
      <c r="Z681" s="84"/>
    </row>
    <row r="682" spans="5:26" ht="39.75" customHeight="1">
      <c r="E682" s="84"/>
      <c r="F682" s="84"/>
      <c r="Y682" s="84"/>
      <c r="Z682" s="84"/>
    </row>
    <row r="683" spans="5:26" ht="39.75" customHeight="1">
      <c r="E683" s="84"/>
      <c r="F683" s="84"/>
      <c r="Y683" s="84"/>
      <c r="Z683" s="84"/>
    </row>
    <row r="684" spans="5:26" ht="39.75" customHeight="1">
      <c r="E684" s="84"/>
      <c r="F684" s="84"/>
      <c r="Y684" s="84"/>
      <c r="Z684" s="84"/>
    </row>
    <row r="685" spans="5:26" ht="39.75" customHeight="1">
      <c r="E685" s="84"/>
      <c r="F685" s="84"/>
      <c r="Y685" s="84"/>
      <c r="Z685" s="84"/>
    </row>
    <row r="686" spans="5:26" ht="39.75" customHeight="1">
      <c r="E686" s="84"/>
      <c r="F686" s="84"/>
      <c r="Y686" s="84"/>
      <c r="Z686" s="84"/>
    </row>
    <row r="687" spans="5:26" ht="39.75" customHeight="1">
      <c r="E687" s="84"/>
      <c r="F687" s="84"/>
      <c r="Y687" s="84"/>
      <c r="Z687" s="84"/>
    </row>
    <row r="688" spans="5:26" ht="39.75" customHeight="1">
      <c r="E688" s="84"/>
      <c r="F688" s="84"/>
      <c r="Y688" s="84"/>
      <c r="Z688" s="84"/>
    </row>
    <row r="689" spans="5:26" ht="39.75" customHeight="1">
      <c r="E689" s="84"/>
      <c r="F689" s="84"/>
      <c r="Y689" s="84"/>
      <c r="Z689" s="84"/>
    </row>
    <row r="690" spans="5:26" ht="39.75" customHeight="1">
      <c r="E690" s="84"/>
      <c r="F690" s="84"/>
      <c r="Y690" s="84"/>
      <c r="Z690" s="84"/>
    </row>
    <row r="691" spans="5:26" ht="39.75" customHeight="1">
      <c r="E691" s="84"/>
      <c r="F691" s="84"/>
      <c r="Y691" s="84"/>
      <c r="Z691" s="84"/>
    </row>
    <row r="692" spans="5:26" ht="39.75" customHeight="1">
      <c r="E692" s="84"/>
      <c r="F692" s="84"/>
      <c r="Y692" s="84"/>
      <c r="Z692" s="84"/>
    </row>
    <row r="693" spans="5:26" ht="39.75" customHeight="1">
      <c r="E693" s="84"/>
      <c r="F693" s="84"/>
      <c r="Y693" s="84"/>
      <c r="Z693" s="84"/>
    </row>
    <row r="694" spans="5:26" ht="39.75" customHeight="1">
      <c r="E694" s="84"/>
      <c r="F694" s="84"/>
      <c r="Y694" s="84"/>
      <c r="Z694" s="84"/>
    </row>
    <row r="695" spans="5:26" ht="39.75" customHeight="1">
      <c r="E695" s="84"/>
      <c r="F695" s="84"/>
      <c r="Y695" s="84"/>
      <c r="Z695" s="84"/>
    </row>
    <row r="696" spans="5:26" ht="39.75" customHeight="1">
      <c r="E696" s="84"/>
      <c r="F696" s="84"/>
      <c r="Y696" s="84"/>
      <c r="Z696" s="84"/>
    </row>
    <row r="697" spans="5:26" ht="39.75" customHeight="1">
      <c r="E697" s="84"/>
      <c r="F697" s="84"/>
      <c r="Y697" s="84"/>
      <c r="Z697" s="84"/>
    </row>
    <row r="698" spans="5:26" ht="39.75" customHeight="1">
      <c r="E698" s="84"/>
      <c r="F698" s="84"/>
      <c r="Y698" s="84"/>
      <c r="Z698" s="84"/>
    </row>
    <row r="699" spans="5:26" ht="39.75" customHeight="1">
      <c r="E699" s="84"/>
      <c r="F699" s="84"/>
      <c r="Y699" s="84"/>
      <c r="Z699" s="84"/>
    </row>
    <row r="700" spans="5:26" ht="39.75" customHeight="1">
      <c r="E700" s="84"/>
      <c r="F700" s="84"/>
      <c r="Y700" s="84"/>
      <c r="Z700" s="84"/>
    </row>
    <row r="701" spans="5:26" ht="39.75" customHeight="1">
      <c r="E701" s="84"/>
      <c r="F701" s="84"/>
      <c r="Y701" s="84"/>
      <c r="Z701" s="84"/>
    </row>
    <row r="702" spans="5:26" ht="39.75" customHeight="1">
      <c r="E702" s="84"/>
      <c r="F702" s="84"/>
      <c r="Y702" s="84"/>
      <c r="Z702" s="84"/>
    </row>
    <row r="703" spans="5:26" ht="39.75" customHeight="1">
      <c r="E703" s="84"/>
      <c r="F703" s="84"/>
      <c r="Y703" s="84"/>
      <c r="Z703" s="84"/>
    </row>
    <row r="704" spans="5:26" ht="39.75" customHeight="1">
      <c r="E704" s="84"/>
      <c r="F704" s="84"/>
      <c r="Y704" s="84"/>
      <c r="Z704" s="84"/>
    </row>
    <row r="705" spans="5:26" ht="39.75" customHeight="1">
      <c r="E705" s="84"/>
      <c r="F705" s="84"/>
      <c r="Y705" s="84"/>
      <c r="Z705" s="84"/>
    </row>
    <row r="706" spans="5:26" ht="39.75" customHeight="1">
      <c r="E706" s="84"/>
      <c r="F706" s="84"/>
      <c r="Y706" s="84"/>
      <c r="Z706" s="84"/>
    </row>
    <row r="707" spans="5:26" ht="39.75" customHeight="1">
      <c r="E707" s="84"/>
      <c r="F707" s="84"/>
      <c r="Y707" s="84"/>
      <c r="Z707" s="84"/>
    </row>
    <row r="708" spans="5:26" ht="39.75" customHeight="1">
      <c r="E708" s="84"/>
      <c r="F708" s="84"/>
      <c r="Y708" s="84"/>
      <c r="Z708" s="84"/>
    </row>
    <row r="709" spans="5:26" ht="39.75" customHeight="1">
      <c r="E709" s="84"/>
      <c r="F709" s="84"/>
      <c r="Y709" s="84"/>
      <c r="Z709" s="84"/>
    </row>
    <row r="710" spans="5:26" ht="39.75" customHeight="1">
      <c r="E710" s="84"/>
      <c r="F710" s="84"/>
      <c r="Y710" s="84"/>
      <c r="Z710" s="84"/>
    </row>
    <row r="711" spans="5:26" ht="39.75" customHeight="1">
      <c r="E711" s="84"/>
      <c r="F711" s="84"/>
      <c r="Y711" s="84"/>
      <c r="Z711" s="84"/>
    </row>
    <row r="712" spans="5:26" ht="39.75" customHeight="1">
      <c r="E712" s="84"/>
      <c r="F712" s="84"/>
      <c r="Y712" s="84"/>
      <c r="Z712" s="84"/>
    </row>
    <row r="713" spans="5:26" ht="39.75" customHeight="1">
      <c r="E713" s="84"/>
      <c r="F713" s="84"/>
      <c r="Y713" s="84"/>
      <c r="Z713" s="84"/>
    </row>
    <row r="714" spans="5:26" ht="39.75" customHeight="1">
      <c r="E714" s="84"/>
      <c r="F714" s="84"/>
      <c r="Y714" s="84"/>
      <c r="Z714" s="84"/>
    </row>
    <row r="715" spans="5:26" ht="39.75" customHeight="1">
      <c r="E715" s="84"/>
      <c r="F715" s="84"/>
      <c r="Y715" s="84"/>
      <c r="Z715" s="84"/>
    </row>
    <row r="716" spans="5:26" ht="39.75" customHeight="1">
      <c r="E716" s="84"/>
      <c r="F716" s="84"/>
      <c r="Y716" s="84"/>
      <c r="Z716" s="84"/>
    </row>
    <row r="717" spans="5:26" ht="39.75" customHeight="1">
      <c r="E717" s="84"/>
      <c r="F717" s="84"/>
      <c r="Y717" s="84"/>
      <c r="Z717" s="84"/>
    </row>
    <row r="718" spans="5:26" ht="39.75" customHeight="1">
      <c r="E718" s="84"/>
      <c r="F718" s="84"/>
      <c r="Y718" s="84"/>
      <c r="Z718" s="84"/>
    </row>
    <row r="719" spans="5:26" ht="39.75" customHeight="1">
      <c r="E719" s="84"/>
      <c r="F719" s="84"/>
      <c r="Y719" s="84"/>
      <c r="Z719" s="84"/>
    </row>
    <row r="720" spans="5:26" ht="39.75" customHeight="1">
      <c r="E720" s="84"/>
      <c r="F720" s="84"/>
      <c r="Y720" s="84"/>
      <c r="Z720" s="84"/>
    </row>
    <row r="721" spans="5:26" ht="39.75" customHeight="1">
      <c r="E721" s="84"/>
      <c r="F721" s="84"/>
      <c r="Y721" s="84"/>
      <c r="Z721" s="84"/>
    </row>
    <row r="722" spans="5:26" ht="39.75" customHeight="1">
      <c r="E722" s="84"/>
      <c r="F722" s="84"/>
      <c r="Y722" s="84"/>
      <c r="Z722" s="84"/>
    </row>
    <row r="723" spans="5:26" ht="39.75" customHeight="1">
      <c r="E723" s="84"/>
      <c r="F723" s="84"/>
      <c r="Y723" s="84"/>
      <c r="Z723" s="84"/>
    </row>
    <row r="724" spans="5:26" ht="39.75" customHeight="1">
      <c r="E724" s="84"/>
      <c r="F724" s="84"/>
      <c r="Y724" s="84"/>
      <c r="Z724" s="84"/>
    </row>
    <row r="725" spans="5:26" ht="39.75" customHeight="1">
      <c r="E725" s="84"/>
      <c r="F725" s="84"/>
      <c r="Y725" s="84"/>
      <c r="Z725" s="84"/>
    </row>
    <row r="726" spans="5:26" ht="39.75" customHeight="1">
      <c r="E726" s="84"/>
      <c r="F726" s="84"/>
      <c r="Y726" s="84"/>
      <c r="Z726" s="84"/>
    </row>
    <row r="727" spans="5:26" ht="39.75" customHeight="1">
      <c r="E727" s="84"/>
      <c r="F727" s="84"/>
      <c r="Y727" s="84"/>
      <c r="Z727" s="84"/>
    </row>
    <row r="728" spans="5:26" ht="39.75" customHeight="1">
      <c r="E728" s="84"/>
      <c r="F728" s="84"/>
      <c r="Y728" s="84"/>
      <c r="Z728" s="84"/>
    </row>
    <row r="729" spans="5:26" ht="39.75" customHeight="1">
      <c r="E729" s="84"/>
      <c r="F729" s="84"/>
      <c r="Y729" s="84"/>
      <c r="Z729" s="84"/>
    </row>
    <row r="730" spans="5:26" ht="39.75" customHeight="1">
      <c r="E730" s="84"/>
      <c r="F730" s="84"/>
      <c r="Y730" s="84"/>
      <c r="Z730" s="84"/>
    </row>
    <row r="731" spans="5:26" ht="39.75" customHeight="1">
      <c r="E731" s="84"/>
      <c r="F731" s="84"/>
      <c r="Y731" s="84"/>
      <c r="Z731" s="84"/>
    </row>
    <row r="732" spans="5:26" ht="39.75" customHeight="1">
      <c r="E732" s="84"/>
      <c r="F732" s="84"/>
      <c r="Y732" s="84"/>
      <c r="Z732" s="84"/>
    </row>
    <row r="733" spans="5:26" ht="39.75" customHeight="1">
      <c r="E733" s="84"/>
      <c r="F733" s="84"/>
      <c r="Y733" s="84"/>
      <c r="Z733" s="84"/>
    </row>
    <row r="734" spans="5:26" ht="39.75" customHeight="1">
      <c r="E734" s="84"/>
      <c r="F734" s="84"/>
      <c r="Y734" s="84"/>
      <c r="Z734" s="84"/>
    </row>
    <row r="735" spans="5:26" ht="39.75" customHeight="1">
      <c r="E735" s="84"/>
      <c r="F735" s="84"/>
      <c r="Y735" s="84"/>
      <c r="Z735" s="84"/>
    </row>
    <row r="736" spans="5:26" ht="39.75" customHeight="1">
      <c r="E736" s="84"/>
      <c r="F736" s="84"/>
      <c r="Y736" s="84"/>
      <c r="Z736" s="84"/>
    </row>
    <row r="737" spans="5:26" ht="39.75" customHeight="1">
      <c r="E737" s="84"/>
      <c r="F737" s="84"/>
      <c r="Y737" s="84"/>
      <c r="Z737" s="84"/>
    </row>
    <row r="738" spans="5:26" ht="39.75" customHeight="1">
      <c r="E738" s="84"/>
      <c r="F738" s="84"/>
      <c r="Y738" s="84"/>
      <c r="Z738" s="84"/>
    </row>
    <row r="739" spans="5:26" ht="39.75" customHeight="1">
      <c r="E739" s="84"/>
      <c r="F739" s="84"/>
      <c r="Y739" s="84"/>
      <c r="Z739" s="84"/>
    </row>
    <row r="740" spans="5:26" ht="39.75" customHeight="1">
      <c r="E740" s="84"/>
      <c r="F740" s="84"/>
      <c r="Y740" s="84"/>
      <c r="Z740" s="84"/>
    </row>
    <row r="741" spans="5:26" ht="39.75" customHeight="1">
      <c r="E741" s="84"/>
      <c r="F741" s="84"/>
      <c r="Y741" s="84"/>
      <c r="Z741" s="84"/>
    </row>
    <row r="742" spans="5:26" ht="39.75" customHeight="1">
      <c r="E742" s="84"/>
      <c r="F742" s="84"/>
      <c r="Y742" s="84"/>
      <c r="Z742" s="84"/>
    </row>
    <row r="743" spans="5:26" ht="39.75" customHeight="1">
      <c r="E743" s="84"/>
      <c r="F743" s="84"/>
      <c r="Y743" s="84"/>
      <c r="Z743" s="84"/>
    </row>
    <row r="744" spans="5:26" ht="39.75" customHeight="1">
      <c r="E744" s="84"/>
      <c r="F744" s="84"/>
      <c r="Y744" s="84"/>
      <c r="Z744" s="84"/>
    </row>
    <row r="745" spans="5:26" ht="39.75" customHeight="1">
      <c r="E745" s="84"/>
      <c r="F745" s="84"/>
      <c r="Y745" s="84"/>
      <c r="Z745" s="84"/>
    </row>
    <row r="746" spans="5:26" ht="39.75" customHeight="1">
      <c r="E746" s="84"/>
      <c r="F746" s="84"/>
      <c r="Y746" s="84"/>
      <c r="Z746" s="84"/>
    </row>
    <row r="747" spans="5:26" ht="39.75" customHeight="1">
      <c r="E747" s="84"/>
      <c r="F747" s="84"/>
      <c r="Y747" s="84"/>
      <c r="Z747" s="84"/>
    </row>
    <row r="748" spans="5:26" ht="39.75" customHeight="1">
      <c r="E748" s="84"/>
      <c r="F748" s="84"/>
      <c r="Y748" s="84"/>
      <c r="Z748" s="84"/>
    </row>
    <row r="749" spans="5:26" ht="39.75" customHeight="1">
      <c r="E749" s="84"/>
      <c r="F749" s="84"/>
      <c r="Y749" s="84"/>
      <c r="Z749" s="84"/>
    </row>
    <row r="750" spans="5:26" ht="39.75" customHeight="1">
      <c r="E750" s="84"/>
      <c r="F750" s="84"/>
      <c r="Y750" s="84"/>
      <c r="Z750" s="84"/>
    </row>
    <row r="751" spans="5:26" ht="39.75" customHeight="1">
      <c r="E751" s="84"/>
      <c r="F751" s="84"/>
      <c r="Y751" s="84"/>
      <c r="Z751" s="84"/>
    </row>
    <row r="752" spans="5:26" ht="39.75" customHeight="1">
      <c r="E752" s="84"/>
      <c r="F752" s="84"/>
      <c r="Y752" s="84"/>
      <c r="Z752" s="84"/>
    </row>
    <row r="753" spans="5:26" ht="39.75" customHeight="1">
      <c r="E753" s="84"/>
      <c r="F753" s="84"/>
      <c r="Y753" s="84"/>
      <c r="Z753" s="84"/>
    </row>
    <row r="754" spans="5:26" ht="39.75" customHeight="1">
      <c r="E754" s="84"/>
      <c r="F754" s="84"/>
      <c r="Y754" s="84"/>
      <c r="Z754" s="84"/>
    </row>
    <row r="755" spans="5:26" ht="39.75" customHeight="1">
      <c r="E755" s="84"/>
      <c r="F755" s="84"/>
      <c r="Y755" s="84"/>
      <c r="Z755" s="84"/>
    </row>
    <row r="756" spans="5:26" ht="39.75" customHeight="1">
      <c r="E756" s="84"/>
      <c r="F756" s="84"/>
      <c r="Y756" s="84"/>
      <c r="Z756" s="84"/>
    </row>
    <row r="757" spans="5:26" ht="39.75" customHeight="1">
      <c r="E757" s="84"/>
      <c r="F757" s="84"/>
      <c r="Y757" s="84"/>
      <c r="Z757" s="84"/>
    </row>
    <row r="758" spans="5:26" ht="39.75" customHeight="1">
      <c r="E758" s="84"/>
      <c r="F758" s="84"/>
      <c r="Y758" s="84"/>
      <c r="Z758" s="84"/>
    </row>
    <row r="759" spans="5:26" ht="39.75" customHeight="1">
      <c r="E759" s="84"/>
      <c r="F759" s="84"/>
      <c r="Y759" s="84"/>
      <c r="Z759" s="84"/>
    </row>
    <row r="760" spans="5:26" ht="39.75" customHeight="1">
      <c r="E760" s="84"/>
      <c r="F760" s="84"/>
      <c r="Y760" s="84"/>
      <c r="Z760" s="84"/>
    </row>
    <row r="761" spans="5:26" ht="39.75" customHeight="1">
      <c r="E761" s="84"/>
      <c r="F761" s="84"/>
      <c r="Y761" s="84"/>
      <c r="Z761" s="84"/>
    </row>
    <row r="762" spans="5:26" ht="39.75" customHeight="1">
      <c r="E762" s="84"/>
      <c r="F762" s="84"/>
      <c r="Y762" s="84"/>
      <c r="Z762" s="84"/>
    </row>
    <row r="763" spans="5:26" ht="39.75" customHeight="1">
      <c r="E763" s="84"/>
      <c r="F763" s="84"/>
      <c r="Y763" s="84"/>
      <c r="Z763" s="84"/>
    </row>
    <row r="764" spans="5:26" ht="39.75" customHeight="1">
      <c r="E764" s="84"/>
      <c r="F764" s="84"/>
      <c r="Y764" s="84"/>
      <c r="Z764" s="84"/>
    </row>
    <row r="765" spans="5:26" ht="39.75" customHeight="1">
      <c r="E765" s="84"/>
      <c r="F765" s="84"/>
      <c r="Y765" s="84"/>
      <c r="Z765" s="84"/>
    </row>
    <row r="766" spans="5:26" ht="39.75" customHeight="1">
      <c r="E766" s="84"/>
      <c r="F766" s="84"/>
      <c r="Y766" s="84"/>
      <c r="Z766" s="84"/>
    </row>
    <row r="767" spans="5:26" ht="39.75" customHeight="1">
      <c r="E767" s="84"/>
      <c r="F767" s="84"/>
      <c r="Y767" s="84"/>
      <c r="Z767" s="84"/>
    </row>
    <row r="768" spans="5:26" ht="39.75" customHeight="1">
      <c r="E768" s="84"/>
      <c r="F768" s="84"/>
      <c r="Y768" s="84"/>
      <c r="Z768" s="84"/>
    </row>
    <row r="769" spans="5:26" ht="39.75" customHeight="1">
      <c r="E769" s="84"/>
      <c r="F769" s="84"/>
      <c r="Y769" s="84"/>
      <c r="Z769" s="84"/>
    </row>
    <row r="770" spans="5:26" ht="39.75" customHeight="1">
      <c r="E770" s="84"/>
      <c r="F770" s="84"/>
      <c r="Y770" s="84"/>
      <c r="Z770" s="84"/>
    </row>
    <row r="771" spans="5:26" ht="39.75" customHeight="1">
      <c r="E771" s="84"/>
      <c r="F771" s="84"/>
      <c r="Y771" s="84"/>
      <c r="Z771" s="84"/>
    </row>
    <row r="772" spans="5:26" ht="39.75" customHeight="1">
      <c r="E772" s="84"/>
      <c r="F772" s="84"/>
      <c r="Y772" s="84"/>
      <c r="Z772" s="84"/>
    </row>
    <row r="773" spans="5:26" ht="39.75" customHeight="1">
      <c r="E773" s="84"/>
      <c r="F773" s="84"/>
      <c r="Y773" s="84"/>
      <c r="Z773" s="84"/>
    </row>
    <row r="774" spans="5:26" ht="39.75" customHeight="1">
      <c r="E774" s="84"/>
      <c r="F774" s="84"/>
      <c r="Y774" s="84"/>
      <c r="Z774" s="84"/>
    </row>
    <row r="775" spans="5:26" ht="39.75" customHeight="1">
      <c r="E775" s="84"/>
      <c r="F775" s="84"/>
      <c r="Y775" s="84"/>
      <c r="Z775" s="84"/>
    </row>
    <row r="776" spans="5:26" ht="39.75" customHeight="1">
      <c r="E776" s="84"/>
      <c r="F776" s="84"/>
      <c r="Y776" s="84"/>
      <c r="Z776" s="84"/>
    </row>
    <row r="777" spans="5:26" ht="39.75" customHeight="1">
      <c r="E777" s="84"/>
      <c r="F777" s="84"/>
      <c r="Y777" s="84"/>
      <c r="Z777" s="84"/>
    </row>
    <row r="778" spans="5:26" ht="39.75" customHeight="1">
      <c r="E778" s="84"/>
      <c r="F778" s="84"/>
      <c r="Y778" s="84"/>
      <c r="Z778" s="84"/>
    </row>
    <row r="779" spans="5:26" ht="39.75" customHeight="1">
      <c r="E779" s="84"/>
      <c r="F779" s="84"/>
      <c r="Y779" s="84"/>
      <c r="Z779" s="84"/>
    </row>
    <row r="780" spans="5:26" ht="39.75" customHeight="1">
      <c r="E780" s="84"/>
      <c r="F780" s="84"/>
      <c r="Y780" s="84"/>
      <c r="Z780" s="84"/>
    </row>
    <row r="781" spans="5:26" ht="39.75" customHeight="1">
      <c r="E781" s="84"/>
      <c r="F781" s="84"/>
      <c r="Y781" s="84"/>
      <c r="Z781" s="84"/>
    </row>
    <row r="782" spans="5:26" ht="39.75" customHeight="1">
      <c r="E782" s="84"/>
      <c r="F782" s="84"/>
      <c r="Y782" s="84"/>
      <c r="Z782" s="84"/>
    </row>
    <row r="783" spans="5:26" ht="39.75" customHeight="1">
      <c r="E783" s="84"/>
      <c r="F783" s="84"/>
      <c r="Y783" s="84"/>
      <c r="Z783" s="84"/>
    </row>
    <row r="784" spans="5:26" ht="39.75" customHeight="1">
      <c r="E784" s="84"/>
      <c r="F784" s="84"/>
      <c r="Y784" s="84"/>
      <c r="Z784" s="84"/>
    </row>
    <row r="785" spans="5:26" ht="39.75" customHeight="1">
      <c r="E785" s="84"/>
      <c r="F785" s="84"/>
      <c r="Y785" s="84"/>
      <c r="Z785" s="84"/>
    </row>
    <row r="786" spans="5:26" ht="39.75" customHeight="1">
      <c r="E786" s="84"/>
      <c r="F786" s="84"/>
      <c r="Y786" s="84"/>
      <c r="Z786" s="84"/>
    </row>
    <row r="787" spans="5:26" ht="39.75" customHeight="1">
      <c r="E787" s="84"/>
      <c r="F787" s="84"/>
      <c r="Y787" s="84"/>
      <c r="Z787" s="84"/>
    </row>
    <row r="788" spans="5:26" ht="39.75" customHeight="1">
      <c r="E788" s="84"/>
      <c r="F788" s="84"/>
      <c r="Y788" s="84"/>
      <c r="Z788" s="84"/>
    </row>
    <row r="789" spans="5:26" ht="39.75" customHeight="1">
      <c r="E789" s="84"/>
      <c r="F789" s="84"/>
      <c r="Y789" s="84"/>
      <c r="Z789" s="84"/>
    </row>
    <row r="790" spans="5:26" ht="39.75" customHeight="1">
      <c r="E790" s="84"/>
      <c r="F790" s="84"/>
      <c r="Y790" s="84"/>
      <c r="Z790" s="84"/>
    </row>
    <row r="791" spans="5:26" ht="39.75" customHeight="1">
      <c r="E791" s="84"/>
      <c r="F791" s="84"/>
      <c r="Y791" s="84"/>
      <c r="Z791" s="84"/>
    </row>
    <row r="792" spans="5:26" ht="39.75" customHeight="1">
      <c r="E792" s="84"/>
      <c r="F792" s="84"/>
      <c r="Y792" s="84"/>
      <c r="Z792" s="84"/>
    </row>
    <row r="793" spans="5:26" ht="39.75" customHeight="1">
      <c r="E793" s="84"/>
      <c r="F793" s="84"/>
      <c r="Y793" s="84"/>
      <c r="Z793" s="84"/>
    </row>
    <row r="794" spans="5:26" ht="39.75" customHeight="1">
      <c r="E794" s="84"/>
      <c r="F794" s="84"/>
      <c r="Y794" s="84"/>
      <c r="Z794" s="84"/>
    </row>
    <row r="795" spans="5:26" ht="39.75" customHeight="1">
      <c r="E795" s="84"/>
      <c r="F795" s="84"/>
      <c r="Y795" s="84"/>
      <c r="Z795" s="84"/>
    </row>
    <row r="796" spans="5:26" ht="39.75" customHeight="1">
      <c r="E796" s="84"/>
      <c r="F796" s="84"/>
      <c r="Y796" s="84"/>
      <c r="Z796" s="84"/>
    </row>
    <row r="797" spans="5:26" ht="39.75" customHeight="1">
      <c r="E797" s="84"/>
      <c r="F797" s="84"/>
      <c r="Y797" s="84"/>
      <c r="Z797" s="84"/>
    </row>
    <row r="798" spans="5:26" ht="39.75" customHeight="1">
      <c r="E798" s="84"/>
      <c r="F798" s="84"/>
      <c r="Y798" s="84"/>
      <c r="Z798" s="84"/>
    </row>
    <row r="799" spans="5:26" ht="39.75" customHeight="1">
      <c r="E799" s="84"/>
      <c r="F799" s="84"/>
      <c r="Y799" s="84"/>
      <c r="Z799" s="84"/>
    </row>
    <row r="800" spans="5:26" ht="39.75" customHeight="1">
      <c r="E800" s="84"/>
      <c r="F800" s="84"/>
      <c r="Y800" s="84"/>
      <c r="Z800" s="84"/>
    </row>
    <row r="801" spans="5:26" ht="39.75" customHeight="1">
      <c r="E801" s="84"/>
      <c r="F801" s="84"/>
      <c r="Y801" s="84"/>
      <c r="Z801" s="84"/>
    </row>
    <row r="802" spans="5:26" ht="39.75" customHeight="1">
      <c r="E802" s="84"/>
      <c r="F802" s="84"/>
      <c r="Y802" s="84"/>
      <c r="Z802" s="84"/>
    </row>
    <row r="803" spans="5:26" ht="39.75" customHeight="1">
      <c r="E803" s="84"/>
      <c r="F803" s="84"/>
      <c r="Y803" s="84"/>
      <c r="Z803" s="84"/>
    </row>
    <row r="804" spans="5:26" ht="39.75" customHeight="1">
      <c r="E804" s="84"/>
      <c r="F804" s="84"/>
      <c r="Y804" s="84"/>
      <c r="Z804" s="84"/>
    </row>
    <row r="805" spans="5:26" ht="39.75" customHeight="1">
      <c r="E805" s="84"/>
      <c r="F805" s="84"/>
      <c r="Y805" s="84"/>
      <c r="Z805" s="84"/>
    </row>
    <row r="806" spans="5:26" ht="39.75" customHeight="1">
      <c r="E806" s="84"/>
      <c r="F806" s="84"/>
      <c r="Y806" s="84"/>
      <c r="Z806" s="84"/>
    </row>
    <row r="807" spans="5:26" ht="39.75" customHeight="1">
      <c r="E807" s="84"/>
      <c r="F807" s="84"/>
      <c r="Y807" s="84"/>
      <c r="Z807" s="84"/>
    </row>
    <row r="808" spans="5:26" ht="39.75" customHeight="1">
      <c r="E808" s="84"/>
      <c r="F808" s="84"/>
      <c r="Y808" s="84"/>
      <c r="Z808" s="84"/>
    </row>
    <row r="809" spans="5:26" ht="39.75" customHeight="1">
      <c r="E809" s="84"/>
      <c r="F809" s="84"/>
      <c r="Y809" s="84"/>
      <c r="Z809" s="84"/>
    </row>
    <row r="810" spans="5:26" ht="39.75" customHeight="1">
      <c r="E810" s="84"/>
      <c r="F810" s="84"/>
      <c r="Y810" s="84"/>
      <c r="Z810" s="84"/>
    </row>
    <row r="811" spans="5:26" ht="39.75" customHeight="1">
      <c r="E811" s="84"/>
      <c r="F811" s="84"/>
      <c r="Y811" s="84"/>
      <c r="Z811" s="84"/>
    </row>
    <row r="812" spans="5:26" ht="39.75" customHeight="1">
      <c r="E812" s="84"/>
      <c r="F812" s="84"/>
      <c r="Y812" s="84"/>
      <c r="Z812" s="84"/>
    </row>
    <row r="813" spans="5:26" ht="39.75" customHeight="1">
      <c r="E813" s="84"/>
      <c r="F813" s="84"/>
      <c r="Y813" s="84"/>
      <c r="Z813" s="84"/>
    </row>
    <row r="814" spans="5:26" ht="39.75" customHeight="1">
      <c r="E814" s="84"/>
      <c r="F814" s="84"/>
      <c r="Y814" s="84"/>
      <c r="Z814" s="84"/>
    </row>
    <row r="815" spans="5:26" ht="39.75" customHeight="1">
      <c r="E815" s="84"/>
      <c r="F815" s="84"/>
      <c r="Y815" s="84"/>
      <c r="Z815" s="84"/>
    </row>
    <row r="816" spans="5:26" ht="39.75" customHeight="1">
      <c r="E816" s="84"/>
      <c r="F816" s="84"/>
      <c r="Y816" s="84"/>
      <c r="Z816" s="84"/>
    </row>
    <row r="817" spans="5:26" ht="39.75" customHeight="1">
      <c r="E817" s="84"/>
      <c r="F817" s="84"/>
      <c r="Y817" s="84"/>
      <c r="Z817" s="84"/>
    </row>
    <row r="818" spans="5:26" ht="39.75" customHeight="1">
      <c r="E818" s="84"/>
      <c r="F818" s="84"/>
      <c r="Y818" s="84"/>
      <c r="Z818" s="84"/>
    </row>
    <row r="819" spans="5:26" ht="39.75" customHeight="1">
      <c r="E819" s="84"/>
      <c r="F819" s="84"/>
      <c r="Y819" s="84"/>
      <c r="Z819" s="84"/>
    </row>
    <row r="820" spans="5:26" ht="39.75" customHeight="1">
      <c r="E820" s="84"/>
      <c r="F820" s="84"/>
      <c r="Y820" s="84"/>
      <c r="Z820" s="84"/>
    </row>
    <row r="821" spans="5:26" ht="39.75" customHeight="1">
      <c r="E821" s="84"/>
      <c r="F821" s="84"/>
      <c r="Y821" s="84"/>
      <c r="Z821" s="84"/>
    </row>
    <row r="822" spans="5:26" ht="39.75" customHeight="1">
      <c r="E822" s="84"/>
      <c r="F822" s="84"/>
      <c r="Y822" s="84"/>
      <c r="Z822" s="84"/>
    </row>
    <row r="823" spans="5:26" ht="39.75" customHeight="1">
      <c r="E823" s="84"/>
      <c r="F823" s="84"/>
      <c r="Y823" s="84"/>
      <c r="Z823" s="84"/>
    </row>
    <row r="824" spans="5:26" ht="39.75" customHeight="1">
      <c r="E824" s="84"/>
      <c r="F824" s="84"/>
      <c r="Y824" s="84"/>
      <c r="Z824" s="84"/>
    </row>
    <row r="825" spans="5:26" ht="39.75" customHeight="1">
      <c r="E825" s="84"/>
      <c r="F825" s="84"/>
      <c r="Y825" s="84"/>
      <c r="Z825" s="84"/>
    </row>
    <row r="826" spans="5:26" ht="39.75" customHeight="1">
      <c r="E826" s="84"/>
      <c r="F826" s="84"/>
      <c r="Y826" s="84"/>
      <c r="Z826" s="84"/>
    </row>
    <row r="827" spans="5:26" ht="39.75" customHeight="1">
      <c r="E827" s="84"/>
      <c r="F827" s="84"/>
      <c r="Y827" s="84"/>
      <c r="Z827" s="84"/>
    </row>
    <row r="828" spans="5:26" ht="39.75" customHeight="1">
      <c r="E828" s="84"/>
      <c r="F828" s="84"/>
      <c r="Y828" s="84"/>
      <c r="Z828" s="84"/>
    </row>
    <row r="829" spans="5:26" ht="39.75" customHeight="1">
      <c r="E829" s="84"/>
      <c r="F829" s="84"/>
      <c r="Y829" s="84"/>
      <c r="Z829" s="84"/>
    </row>
    <row r="830" spans="5:26" ht="39.75" customHeight="1">
      <c r="E830" s="84"/>
      <c r="F830" s="84"/>
      <c r="Y830" s="84"/>
      <c r="Z830" s="84"/>
    </row>
    <row r="831" spans="5:26" ht="39.75" customHeight="1">
      <c r="E831" s="84"/>
      <c r="F831" s="84"/>
      <c r="Y831" s="84"/>
      <c r="Z831" s="84"/>
    </row>
    <row r="832" spans="5:26" ht="39.75" customHeight="1">
      <c r="E832" s="84"/>
      <c r="F832" s="84"/>
      <c r="Y832" s="84"/>
      <c r="Z832" s="84"/>
    </row>
    <row r="833" spans="5:26" ht="39.75" customHeight="1">
      <c r="E833" s="84"/>
      <c r="F833" s="84"/>
      <c r="Y833" s="84"/>
      <c r="Z833" s="84"/>
    </row>
    <row r="834" spans="5:26" ht="39.75" customHeight="1">
      <c r="E834" s="84"/>
      <c r="F834" s="84"/>
      <c r="Y834" s="84"/>
      <c r="Z834" s="84"/>
    </row>
    <row r="835" spans="5:26" ht="39.75" customHeight="1">
      <c r="E835" s="84"/>
      <c r="F835" s="84"/>
      <c r="Y835" s="84"/>
      <c r="Z835" s="84"/>
    </row>
    <row r="836" spans="5:26" ht="39.75" customHeight="1">
      <c r="E836" s="84"/>
      <c r="F836" s="84"/>
      <c r="Y836" s="84"/>
      <c r="Z836" s="84"/>
    </row>
    <row r="837" spans="5:26" ht="39.75" customHeight="1">
      <c r="E837" s="84"/>
      <c r="F837" s="84"/>
      <c r="Y837" s="84"/>
      <c r="Z837" s="84"/>
    </row>
    <row r="838" spans="5:26" ht="39.75" customHeight="1">
      <c r="E838" s="84"/>
      <c r="F838" s="84"/>
      <c r="Y838" s="84"/>
      <c r="Z838" s="84"/>
    </row>
    <row r="839" spans="5:26" ht="39.75" customHeight="1">
      <c r="E839" s="84"/>
      <c r="F839" s="84"/>
      <c r="Y839" s="84"/>
      <c r="Z839" s="84"/>
    </row>
    <row r="840" spans="5:26" ht="39.75" customHeight="1">
      <c r="E840" s="84"/>
      <c r="F840" s="84"/>
      <c r="Y840" s="84"/>
      <c r="Z840" s="84"/>
    </row>
    <row r="841" spans="5:26" ht="39.75" customHeight="1">
      <c r="E841" s="84"/>
      <c r="F841" s="84"/>
      <c r="Y841" s="84"/>
      <c r="Z841" s="84"/>
    </row>
    <row r="842" spans="5:26" ht="39.75" customHeight="1">
      <c r="E842" s="84"/>
      <c r="F842" s="84"/>
      <c r="Y842" s="84"/>
      <c r="Z842" s="84"/>
    </row>
    <row r="843" spans="5:26" ht="39.75" customHeight="1">
      <c r="E843" s="84"/>
      <c r="F843" s="84"/>
      <c r="Y843" s="84"/>
      <c r="Z843" s="84"/>
    </row>
    <row r="844" spans="5:26" ht="39.75" customHeight="1">
      <c r="E844" s="84"/>
      <c r="F844" s="84"/>
      <c r="Y844" s="84"/>
      <c r="Z844" s="84"/>
    </row>
    <row r="845" spans="5:26" ht="39.75" customHeight="1">
      <c r="E845" s="84"/>
      <c r="F845" s="84"/>
      <c r="Y845" s="84"/>
      <c r="Z845" s="84"/>
    </row>
    <row r="846" spans="5:26" ht="39.75" customHeight="1">
      <c r="E846" s="84"/>
      <c r="F846" s="84"/>
      <c r="Y846" s="84"/>
      <c r="Z846" s="84"/>
    </row>
    <row r="847" spans="5:26" ht="39.75" customHeight="1">
      <c r="E847" s="84"/>
      <c r="F847" s="84"/>
      <c r="Y847" s="84"/>
      <c r="Z847" s="84"/>
    </row>
    <row r="848" spans="5:26" ht="39.75" customHeight="1">
      <c r="E848" s="84"/>
      <c r="F848" s="84"/>
      <c r="Y848" s="84"/>
      <c r="Z848" s="84"/>
    </row>
    <row r="849" spans="5:26" ht="39.75" customHeight="1">
      <c r="E849" s="84"/>
      <c r="F849" s="84"/>
      <c r="Y849" s="84"/>
      <c r="Z849" s="84"/>
    </row>
    <row r="850" spans="5:26" ht="39.75" customHeight="1">
      <c r="E850" s="84"/>
      <c r="F850" s="84"/>
      <c r="Y850" s="84"/>
      <c r="Z850" s="84"/>
    </row>
    <row r="851" spans="5:26" ht="39.75" customHeight="1">
      <c r="E851" s="84"/>
      <c r="F851" s="84"/>
      <c r="Y851" s="84"/>
      <c r="Z851" s="84"/>
    </row>
    <row r="852" spans="5:26" ht="39.75" customHeight="1">
      <c r="E852" s="84"/>
      <c r="F852" s="84"/>
      <c r="Y852" s="84"/>
      <c r="Z852" s="84"/>
    </row>
    <row r="853" spans="5:26" ht="39.75" customHeight="1">
      <c r="E853" s="84"/>
      <c r="F853" s="84"/>
      <c r="Y853" s="84"/>
      <c r="Z853" s="84"/>
    </row>
    <row r="854" spans="5:26" ht="39.75" customHeight="1">
      <c r="E854" s="84"/>
      <c r="F854" s="84"/>
      <c r="Y854" s="84"/>
      <c r="Z854" s="84"/>
    </row>
    <row r="855" spans="5:26" ht="39.75" customHeight="1">
      <c r="E855" s="84"/>
      <c r="F855" s="84"/>
      <c r="Y855" s="84"/>
      <c r="Z855" s="84"/>
    </row>
    <row r="856" spans="5:26" ht="39.75" customHeight="1">
      <c r="E856" s="84"/>
      <c r="F856" s="84"/>
      <c r="Y856" s="84"/>
      <c r="Z856" s="84"/>
    </row>
    <row r="857" spans="5:26" ht="39.75" customHeight="1">
      <c r="E857" s="84"/>
      <c r="F857" s="84"/>
      <c r="Y857" s="84"/>
      <c r="Z857" s="84"/>
    </row>
    <row r="858" spans="5:26" ht="39.75" customHeight="1">
      <c r="E858" s="84"/>
      <c r="F858" s="84"/>
      <c r="Y858" s="84"/>
      <c r="Z858" s="84"/>
    </row>
    <row r="859" spans="5:26" ht="39.75" customHeight="1">
      <c r="E859" s="84"/>
      <c r="F859" s="84"/>
      <c r="Y859" s="84"/>
      <c r="Z859" s="84"/>
    </row>
    <row r="860" spans="5:26" ht="39.75" customHeight="1">
      <c r="E860" s="84"/>
      <c r="F860" s="84"/>
      <c r="Y860" s="84"/>
      <c r="Z860" s="84"/>
    </row>
    <row r="861" spans="5:26" ht="39.75" customHeight="1">
      <c r="E861" s="84"/>
      <c r="F861" s="84"/>
      <c r="Y861" s="84"/>
      <c r="Z861" s="84"/>
    </row>
    <row r="862" spans="5:26" ht="39.75" customHeight="1">
      <c r="E862" s="84"/>
      <c r="F862" s="84"/>
      <c r="Y862" s="84"/>
      <c r="Z862" s="84"/>
    </row>
    <row r="863" spans="5:26" ht="39.75" customHeight="1">
      <c r="E863" s="84"/>
      <c r="F863" s="84"/>
      <c r="Y863" s="84"/>
      <c r="Z863" s="84"/>
    </row>
    <row r="864" spans="5:26" ht="39.75" customHeight="1">
      <c r="E864" s="84"/>
      <c r="F864" s="84"/>
      <c r="Y864" s="84"/>
      <c r="Z864" s="84"/>
    </row>
    <row r="865" spans="5:26" ht="39.75" customHeight="1">
      <c r="E865" s="84"/>
      <c r="F865" s="84"/>
      <c r="Y865" s="84"/>
      <c r="Z865" s="84"/>
    </row>
    <row r="866" spans="5:26" ht="39.75" customHeight="1">
      <c r="E866" s="84"/>
      <c r="F866" s="84"/>
      <c r="Y866" s="84"/>
      <c r="Z866" s="84"/>
    </row>
    <row r="867" spans="5:26" ht="39.75" customHeight="1">
      <c r="E867" s="84"/>
      <c r="F867" s="84"/>
      <c r="Y867" s="84"/>
      <c r="Z867" s="84"/>
    </row>
    <row r="868" spans="5:26" ht="39.75" customHeight="1">
      <c r="E868" s="84"/>
      <c r="F868" s="84"/>
      <c r="Y868" s="84"/>
      <c r="Z868" s="84"/>
    </row>
    <row r="869" spans="5:26" ht="39.75" customHeight="1">
      <c r="E869" s="84"/>
      <c r="F869" s="84"/>
      <c r="Y869" s="84"/>
      <c r="Z869" s="84"/>
    </row>
    <row r="870" spans="5:26" ht="39.75" customHeight="1">
      <c r="E870" s="84"/>
      <c r="F870" s="84"/>
      <c r="Y870" s="84"/>
      <c r="Z870" s="84"/>
    </row>
    <row r="871" spans="5:26" ht="39.75" customHeight="1">
      <c r="E871" s="84"/>
      <c r="F871" s="84"/>
      <c r="Y871" s="84"/>
      <c r="Z871" s="84"/>
    </row>
    <row r="872" spans="5:26" ht="39.75" customHeight="1">
      <c r="E872" s="84"/>
      <c r="F872" s="84"/>
      <c r="Y872" s="84"/>
      <c r="Z872" s="84"/>
    </row>
    <row r="873" spans="5:26" ht="39.75" customHeight="1">
      <c r="E873" s="84"/>
      <c r="F873" s="84"/>
      <c r="Y873" s="84"/>
      <c r="Z873" s="84"/>
    </row>
    <row r="874" spans="5:26" ht="39.75" customHeight="1">
      <c r="E874" s="84"/>
      <c r="F874" s="84"/>
      <c r="Y874" s="84"/>
      <c r="Z874" s="84"/>
    </row>
    <row r="875" spans="5:26" ht="39.75" customHeight="1">
      <c r="E875" s="84"/>
      <c r="F875" s="84"/>
      <c r="Y875" s="84"/>
      <c r="Z875" s="84"/>
    </row>
    <row r="876" spans="5:26" ht="39.75" customHeight="1">
      <c r="E876" s="84"/>
      <c r="F876" s="84"/>
      <c r="Y876" s="84"/>
      <c r="Z876" s="84"/>
    </row>
    <row r="877" spans="5:26" ht="39.75" customHeight="1">
      <c r="E877" s="84"/>
      <c r="F877" s="84"/>
      <c r="Y877" s="84"/>
      <c r="Z877" s="84"/>
    </row>
    <row r="878" spans="5:26" ht="39.75" customHeight="1">
      <c r="E878" s="84"/>
      <c r="F878" s="84"/>
      <c r="Y878" s="84"/>
      <c r="Z878" s="84"/>
    </row>
    <row r="879" spans="5:26" ht="39.75" customHeight="1">
      <c r="E879" s="84"/>
      <c r="F879" s="84"/>
      <c r="Y879" s="84"/>
      <c r="Z879" s="84"/>
    </row>
    <row r="880" spans="5:26" ht="39.75" customHeight="1">
      <c r="E880" s="84"/>
      <c r="F880" s="84"/>
      <c r="Y880" s="84"/>
      <c r="Z880" s="84"/>
    </row>
    <row r="881" spans="5:26" ht="39.75" customHeight="1">
      <c r="E881" s="84"/>
      <c r="F881" s="84"/>
      <c r="Y881" s="84"/>
      <c r="Z881" s="84"/>
    </row>
    <row r="882" spans="5:26" ht="39.75" customHeight="1">
      <c r="E882" s="84"/>
      <c r="F882" s="84"/>
      <c r="Y882" s="84"/>
      <c r="Z882" s="84"/>
    </row>
    <row r="883" spans="5:26" ht="39.75" customHeight="1">
      <c r="E883" s="84"/>
      <c r="F883" s="84"/>
      <c r="Y883" s="84"/>
      <c r="Z883" s="84"/>
    </row>
    <row r="884" spans="5:26" ht="39.75" customHeight="1">
      <c r="E884" s="84"/>
      <c r="F884" s="84"/>
      <c r="Y884" s="84"/>
      <c r="Z884" s="84"/>
    </row>
    <row r="885" spans="5:26" ht="39.75" customHeight="1">
      <c r="E885" s="84"/>
      <c r="F885" s="84"/>
      <c r="Y885" s="84"/>
      <c r="Z885" s="84"/>
    </row>
    <row r="886" spans="5:26" ht="39.75" customHeight="1">
      <c r="E886" s="84"/>
      <c r="F886" s="84"/>
      <c r="Y886" s="84"/>
      <c r="Z886" s="84"/>
    </row>
    <row r="887" spans="5:26" ht="39.75" customHeight="1">
      <c r="E887" s="84"/>
      <c r="F887" s="84"/>
      <c r="Y887" s="84"/>
      <c r="Z887" s="84"/>
    </row>
    <row r="888" spans="5:26" ht="39.75" customHeight="1">
      <c r="E888" s="84"/>
      <c r="F888" s="84"/>
      <c r="Y888" s="84"/>
      <c r="Z888" s="84"/>
    </row>
    <row r="889" spans="5:26" ht="39.75" customHeight="1">
      <c r="E889" s="84"/>
      <c r="F889" s="84"/>
      <c r="Y889" s="84"/>
      <c r="Z889" s="84"/>
    </row>
    <row r="890" spans="5:26" ht="39.75" customHeight="1">
      <c r="E890" s="84"/>
      <c r="F890" s="84"/>
      <c r="Y890" s="84"/>
      <c r="Z890" s="84"/>
    </row>
    <row r="891" spans="5:26" ht="39.75" customHeight="1">
      <c r="E891" s="84"/>
      <c r="F891" s="84"/>
      <c r="Y891" s="84"/>
      <c r="Z891" s="84"/>
    </row>
    <row r="892" spans="5:26" ht="39.75" customHeight="1">
      <c r="E892" s="84"/>
      <c r="F892" s="84"/>
      <c r="Y892" s="84"/>
      <c r="Z892" s="84"/>
    </row>
    <row r="893" spans="5:26" ht="39.75" customHeight="1">
      <c r="E893" s="84"/>
      <c r="F893" s="84"/>
      <c r="Y893" s="84"/>
      <c r="Z893" s="84"/>
    </row>
    <row r="894" spans="5:26" ht="39.75" customHeight="1">
      <c r="E894" s="84"/>
      <c r="F894" s="84"/>
      <c r="Y894" s="84"/>
      <c r="Z894" s="84"/>
    </row>
    <row r="895" spans="5:26" ht="39.75" customHeight="1">
      <c r="E895" s="84"/>
      <c r="F895" s="84"/>
      <c r="Y895" s="84"/>
      <c r="Z895" s="84"/>
    </row>
    <row r="896" spans="5:26" ht="39.75" customHeight="1">
      <c r="E896" s="84"/>
      <c r="F896" s="84"/>
      <c r="Y896" s="84"/>
      <c r="Z896" s="84"/>
    </row>
    <row r="897" spans="5:26" ht="39.75" customHeight="1">
      <c r="E897" s="84"/>
      <c r="F897" s="84"/>
      <c r="Y897" s="84"/>
      <c r="Z897" s="84"/>
    </row>
    <row r="898" spans="5:26" ht="39.75" customHeight="1">
      <c r="E898" s="84"/>
      <c r="F898" s="84"/>
      <c r="Y898" s="84"/>
      <c r="Z898" s="84"/>
    </row>
    <row r="899" spans="5:26" ht="39.75" customHeight="1">
      <c r="E899" s="84"/>
      <c r="F899" s="84"/>
      <c r="Y899" s="84"/>
      <c r="Z899" s="84"/>
    </row>
    <row r="900" spans="5:26" ht="39.75" customHeight="1">
      <c r="E900" s="84"/>
      <c r="F900" s="84"/>
      <c r="Y900" s="84"/>
      <c r="Z900" s="84"/>
    </row>
    <row r="901" spans="5:26" ht="39.75" customHeight="1">
      <c r="E901" s="84"/>
      <c r="F901" s="84"/>
      <c r="Y901" s="84"/>
      <c r="Z901" s="84"/>
    </row>
    <row r="902" spans="5:26" ht="39.75" customHeight="1">
      <c r="E902" s="84"/>
      <c r="F902" s="84"/>
      <c r="Y902" s="84"/>
      <c r="Z902" s="84"/>
    </row>
    <row r="903" spans="5:26" ht="39.75" customHeight="1">
      <c r="E903" s="84"/>
      <c r="F903" s="84"/>
      <c r="Y903" s="84"/>
      <c r="Z903" s="84"/>
    </row>
    <row r="904" spans="5:26" ht="39.75" customHeight="1">
      <c r="E904" s="84"/>
      <c r="F904" s="84"/>
      <c r="Y904" s="84"/>
      <c r="Z904" s="84"/>
    </row>
    <row r="905" spans="5:26" ht="39.75" customHeight="1">
      <c r="E905" s="84"/>
      <c r="F905" s="84"/>
      <c r="Y905" s="84"/>
      <c r="Z905" s="84"/>
    </row>
    <row r="906" spans="5:26" ht="39.75" customHeight="1">
      <c r="E906" s="84"/>
      <c r="F906" s="84"/>
      <c r="Y906" s="84"/>
      <c r="Z906" s="84"/>
    </row>
    <row r="907" spans="5:26" ht="39.75" customHeight="1">
      <c r="E907" s="84"/>
      <c r="F907" s="84"/>
      <c r="Y907" s="84"/>
      <c r="Z907" s="84"/>
    </row>
    <row r="908" spans="5:26" ht="39.75" customHeight="1">
      <c r="E908" s="84"/>
      <c r="F908" s="84"/>
      <c r="Y908" s="84"/>
      <c r="Z908" s="84"/>
    </row>
    <row r="909" spans="5:26" ht="39.75" customHeight="1">
      <c r="E909" s="84"/>
      <c r="F909" s="84"/>
      <c r="Y909" s="84"/>
      <c r="Z909" s="84"/>
    </row>
    <row r="910" spans="5:26" ht="39.75" customHeight="1">
      <c r="E910" s="84"/>
      <c r="F910" s="84"/>
      <c r="Y910" s="84"/>
      <c r="Z910" s="84"/>
    </row>
    <row r="911" spans="5:26" ht="39.75" customHeight="1">
      <c r="E911" s="84"/>
      <c r="F911" s="84"/>
      <c r="Y911" s="84"/>
      <c r="Z911" s="84"/>
    </row>
    <row r="912" spans="5:26" ht="39.75" customHeight="1">
      <c r="E912" s="84"/>
      <c r="F912" s="84"/>
      <c r="Y912" s="84"/>
      <c r="Z912" s="84"/>
    </row>
    <row r="913" spans="5:26" ht="39.75" customHeight="1">
      <c r="E913" s="84"/>
      <c r="F913" s="84"/>
      <c r="Y913" s="84"/>
      <c r="Z913" s="84"/>
    </row>
    <row r="914" spans="5:26" ht="39.75" customHeight="1">
      <c r="E914" s="84"/>
      <c r="F914" s="84"/>
      <c r="Y914" s="84"/>
      <c r="Z914" s="84"/>
    </row>
    <row r="915" spans="5:26" ht="39.75" customHeight="1">
      <c r="E915" s="84"/>
      <c r="F915" s="84"/>
      <c r="Y915" s="84"/>
      <c r="Z915" s="84"/>
    </row>
    <row r="916" spans="5:26" ht="39.75" customHeight="1">
      <c r="E916" s="84"/>
      <c r="F916" s="84"/>
      <c r="Y916" s="84"/>
      <c r="Z916" s="84"/>
    </row>
    <row r="917" spans="5:26" ht="39.75" customHeight="1">
      <c r="E917" s="84"/>
      <c r="F917" s="84"/>
      <c r="Y917" s="84"/>
      <c r="Z917" s="84"/>
    </row>
    <row r="918" spans="5:26" ht="39.75" customHeight="1">
      <c r="E918" s="84"/>
      <c r="F918" s="84"/>
      <c r="Y918" s="84"/>
      <c r="Z918" s="84"/>
    </row>
    <row r="919" spans="5:26" ht="39.75" customHeight="1">
      <c r="E919" s="84"/>
      <c r="F919" s="84"/>
      <c r="Y919" s="84"/>
      <c r="Z919" s="84"/>
    </row>
    <row r="920" spans="5:26" ht="39.75" customHeight="1">
      <c r="E920" s="84"/>
      <c r="F920" s="84"/>
      <c r="Y920" s="84"/>
      <c r="Z920" s="84"/>
    </row>
    <row r="921" spans="5:26" ht="39.75" customHeight="1">
      <c r="E921" s="84"/>
      <c r="F921" s="84"/>
      <c r="Y921" s="84"/>
      <c r="Z921" s="84"/>
    </row>
    <row r="922" spans="5:26" ht="39.75" customHeight="1">
      <c r="E922" s="84"/>
      <c r="F922" s="84"/>
      <c r="Y922" s="84"/>
      <c r="Z922" s="84"/>
    </row>
    <row r="923" spans="5:26" ht="39.75" customHeight="1">
      <c r="E923" s="84"/>
      <c r="F923" s="84"/>
      <c r="Y923" s="84"/>
      <c r="Z923" s="84"/>
    </row>
    <row r="924" spans="5:26" ht="39.75" customHeight="1">
      <c r="E924" s="84"/>
      <c r="F924" s="84"/>
      <c r="Y924" s="84"/>
      <c r="Z924" s="84"/>
    </row>
    <row r="925" spans="5:26" ht="39.75" customHeight="1">
      <c r="E925" s="84"/>
      <c r="F925" s="84"/>
      <c r="Y925" s="84"/>
      <c r="Z925" s="84"/>
    </row>
    <row r="926" spans="5:26" ht="39.75" customHeight="1">
      <c r="E926" s="84"/>
      <c r="F926" s="84"/>
      <c r="Y926" s="84"/>
      <c r="Z926" s="84"/>
    </row>
    <row r="927" spans="5:26" ht="39.75" customHeight="1">
      <c r="E927" s="84"/>
      <c r="F927" s="84"/>
      <c r="Y927" s="84"/>
      <c r="Z927" s="84"/>
    </row>
    <row r="928" spans="5:26" ht="39.75" customHeight="1">
      <c r="E928" s="84"/>
      <c r="F928" s="84"/>
      <c r="Y928" s="84"/>
      <c r="Z928" s="84"/>
    </row>
    <row r="929" spans="5:26" ht="39.75" customHeight="1">
      <c r="E929" s="84"/>
      <c r="F929" s="84"/>
      <c r="Y929" s="84"/>
      <c r="Z929" s="84"/>
    </row>
    <row r="930" spans="5:26" ht="39.75" customHeight="1">
      <c r="E930" s="84"/>
      <c r="F930" s="84"/>
      <c r="Y930" s="84"/>
      <c r="Z930" s="84"/>
    </row>
    <row r="931" spans="5:26" ht="39.75" customHeight="1">
      <c r="E931" s="84"/>
      <c r="F931" s="84"/>
      <c r="Y931" s="84"/>
      <c r="Z931" s="84"/>
    </row>
    <row r="932" spans="5:26" ht="39.75" customHeight="1">
      <c r="E932" s="84"/>
      <c r="F932" s="84"/>
      <c r="Y932" s="84"/>
      <c r="Z932" s="84"/>
    </row>
    <row r="933" spans="5:26" ht="39.75" customHeight="1">
      <c r="E933" s="84"/>
      <c r="F933" s="84"/>
      <c r="Y933" s="84"/>
      <c r="Z933" s="84"/>
    </row>
    <row r="934" spans="5:26" ht="39.75" customHeight="1">
      <c r="E934" s="84"/>
      <c r="F934" s="84"/>
      <c r="Y934" s="84"/>
      <c r="Z934" s="84"/>
    </row>
    <row r="935" spans="5:26" ht="39.75" customHeight="1">
      <c r="E935" s="84"/>
      <c r="F935" s="84"/>
      <c r="Y935" s="84"/>
      <c r="Z935" s="84"/>
    </row>
    <row r="936" spans="5:26" ht="39.75" customHeight="1">
      <c r="E936" s="84"/>
      <c r="F936" s="84"/>
      <c r="Y936" s="84"/>
      <c r="Z936" s="84"/>
    </row>
    <row r="937" spans="5:26" ht="39.75" customHeight="1">
      <c r="E937" s="84"/>
      <c r="F937" s="84"/>
      <c r="Y937" s="84"/>
      <c r="Z937" s="84"/>
    </row>
    <row r="938" spans="5:26" ht="39.75" customHeight="1">
      <c r="E938" s="84"/>
      <c r="F938" s="84"/>
      <c r="Y938" s="84"/>
      <c r="Z938" s="84"/>
    </row>
    <row r="939" spans="5:26" ht="39.75" customHeight="1">
      <c r="E939" s="84"/>
      <c r="F939" s="84"/>
      <c r="Y939" s="84"/>
      <c r="Z939" s="84"/>
    </row>
    <row r="940" spans="5:26" ht="39.75" customHeight="1">
      <c r="E940" s="84"/>
      <c r="F940" s="84"/>
      <c r="Y940" s="84"/>
      <c r="Z940" s="84"/>
    </row>
    <row r="941" spans="5:26" ht="39.75" customHeight="1">
      <c r="E941" s="84"/>
      <c r="F941" s="84"/>
      <c r="Y941" s="84"/>
      <c r="Z941" s="84"/>
    </row>
    <row r="942" spans="5:26" ht="39.75" customHeight="1">
      <c r="E942" s="84"/>
      <c r="F942" s="84"/>
      <c r="Y942" s="84"/>
      <c r="Z942" s="84"/>
    </row>
    <row r="943" spans="5:26" ht="39.75" customHeight="1">
      <c r="E943" s="84"/>
      <c r="F943" s="84"/>
      <c r="Y943" s="84"/>
      <c r="Z943" s="84"/>
    </row>
    <row r="944" spans="5:26" ht="39.75" customHeight="1">
      <c r="E944" s="84"/>
      <c r="F944" s="84"/>
      <c r="Y944" s="84"/>
      <c r="Z944" s="84"/>
    </row>
    <row r="945" spans="5:26" ht="39.75" customHeight="1">
      <c r="E945" s="84"/>
      <c r="F945" s="84"/>
      <c r="Y945" s="84"/>
      <c r="Z945" s="84"/>
    </row>
    <row r="946" spans="5:26" ht="39.75" customHeight="1">
      <c r="E946" s="84"/>
      <c r="F946" s="84"/>
      <c r="Y946" s="84"/>
      <c r="Z946" s="84"/>
    </row>
    <row r="947" spans="5:26" ht="39.75" customHeight="1">
      <c r="E947" s="84"/>
      <c r="F947" s="84"/>
      <c r="Y947" s="84"/>
      <c r="Z947" s="84"/>
    </row>
    <row r="948" spans="5:26" ht="39.75" customHeight="1">
      <c r="E948" s="84"/>
      <c r="F948" s="84"/>
      <c r="Y948" s="84"/>
      <c r="Z948" s="84"/>
    </row>
    <row r="949" spans="5:26" ht="39.75" customHeight="1">
      <c r="E949" s="84"/>
      <c r="F949" s="84"/>
      <c r="Y949" s="84"/>
      <c r="Z949" s="84"/>
    </row>
    <row r="950" spans="5:26" ht="39.75" customHeight="1">
      <c r="E950" s="84"/>
      <c r="F950" s="84"/>
      <c r="Y950" s="84"/>
      <c r="Z950" s="84"/>
    </row>
    <row r="951" spans="5:26" ht="39.75" customHeight="1">
      <c r="E951" s="84"/>
      <c r="F951" s="84"/>
      <c r="Y951" s="84"/>
      <c r="Z951" s="84"/>
    </row>
    <row r="952" spans="5:26" ht="39.75" customHeight="1">
      <c r="E952" s="84"/>
      <c r="F952" s="84"/>
      <c r="Y952" s="84"/>
      <c r="Z952" s="84"/>
    </row>
    <row r="953" spans="5:26" ht="39.75" customHeight="1">
      <c r="E953" s="84"/>
      <c r="F953" s="84"/>
      <c r="Y953" s="84"/>
      <c r="Z953" s="84"/>
    </row>
    <row r="954" spans="5:26" ht="39.75" customHeight="1">
      <c r="E954" s="84"/>
      <c r="F954" s="84"/>
      <c r="Y954" s="84"/>
      <c r="Z954" s="84"/>
    </row>
    <row r="955" spans="5:26" ht="39.75" customHeight="1">
      <c r="E955" s="84"/>
      <c r="F955" s="84"/>
      <c r="Y955" s="84"/>
      <c r="Z955" s="84"/>
    </row>
    <row r="956" spans="5:26" ht="39.75" customHeight="1">
      <c r="E956" s="84"/>
      <c r="F956" s="84"/>
      <c r="Y956" s="84"/>
      <c r="Z956" s="84"/>
    </row>
    <row r="957" spans="5:26" ht="39.75" customHeight="1">
      <c r="E957" s="84"/>
      <c r="F957" s="84"/>
      <c r="Y957" s="84"/>
      <c r="Z957" s="84"/>
    </row>
    <row r="958" spans="5:26" ht="39.75" customHeight="1">
      <c r="E958" s="84"/>
      <c r="F958" s="84"/>
      <c r="Y958" s="84"/>
      <c r="Z958" s="84"/>
    </row>
    <row r="959" spans="5:26" ht="39.75" customHeight="1">
      <c r="E959" s="84"/>
      <c r="F959" s="84"/>
      <c r="Y959" s="84"/>
      <c r="Z959" s="84"/>
    </row>
    <row r="960" spans="5:26" ht="39.75" customHeight="1">
      <c r="E960" s="84"/>
      <c r="F960" s="84"/>
      <c r="Y960" s="84"/>
      <c r="Z960" s="84"/>
    </row>
    <row r="961" spans="5:26" ht="39.75" customHeight="1">
      <c r="E961" s="84"/>
      <c r="F961" s="84"/>
      <c r="Y961" s="84"/>
      <c r="Z961" s="84"/>
    </row>
    <row r="962" spans="5:26" ht="39.75" customHeight="1">
      <c r="E962" s="84"/>
      <c r="F962" s="84"/>
      <c r="Y962" s="84"/>
      <c r="Z962" s="84"/>
    </row>
    <row r="963" spans="5:26" ht="39.75" customHeight="1">
      <c r="E963" s="84"/>
      <c r="F963" s="84"/>
      <c r="Y963" s="84"/>
      <c r="Z963" s="84"/>
    </row>
    <row r="964" spans="5:26" ht="39.75" customHeight="1">
      <c r="E964" s="84"/>
      <c r="F964" s="84"/>
      <c r="Y964" s="84"/>
      <c r="Z964" s="84"/>
    </row>
    <row r="965" spans="5:26" ht="39.75" customHeight="1">
      <c r="E965" s="84"/>
      <c r="F965" s="84"/>
      <c r="Y965" s="84"/>
      <c r="Z965" s="84"/>
    </row>
    <row r="966" spans="5:26" ht="39.75" customHeight="1">
      <c r="E966" s="84"/>
      <c r="F966" s="84"/>
      <c r="Y966" s="84"/>
      <c r="Z966" s="84"/>
    </row>
    <row r="967" spans="5:26" ht="39.75" customHeight="1">
      <c r="E967" s="84"/>
      <c r="F967" s="84"/>
      <c r="Y967" s="84"/>
      <c r="Z967" s="84"/>
    </row>
    <row r="968" spans="5:26" ht="39.75" customHeight="1">
      <c r="E968" s="84"/>
      <c r="F968" s="84"/>
      <c r="Y968" s="84"/>
      <c r="Z968" s="84"/>
    </row>
    <row r="969" spans="5:26" ht="39.75" customHeight="1">
      <c r="E969" s="84"/>
      <c r="F969" s="84"/>
      <c r="Y969" s="84"/>
      <c r="Z969" s="84"/>
    </row>
    <row r="970" spans="5:26" ht="39.75" customHeight="1">
      <c r="E970" s="84"/>
      <c r="F970" s="84"/>
      <c r="Y970" s="84"/>
      <c r="Z970" s="84"/>
    </row>
    <row r="971" spans="5:26" ht="39.75" customHeight="1">
      <c r="E971" s="84"/>
      <c r="F971" s="84"/>
      <c r="Y971" s="84"/>
      <c r="Z971" s="84"/>
    </row>
    <row r="972" spans="5:26" ht="39.75" customHeight="1">
      <c r="E972" s="84"/>
      <c r="F972" s="84"/>
      <c r="Y972" s="84"/>
      <c r="Z972" s="84"/>
    </row>
    <row r="973" spans="5:26" ht="39.75" customHeight="1">
      <c r="E973" s="84"/>
      <c r="F973" s="84"/>
      <c r="Y973" s="84"/>
      <c r="Z973" s="84"/>
    </row>
    <row r="974" spans="5:26" ht="39.75" customHeight="1">
      <c r="E974" s="84"/>
      <c r="F974" s="84"/>
      <c r="Y974" s="84"/>
      <c r="Z974" s="84"/>
    </row>
    <row r="975" spans="5:26" ht="39.75" customHeight="1">
      <c r="E975" s="84"/>
      <c r="F975" s="84"/>
      <c r="Y975" s="84"/>
      <c r="Z975" s="84"/>
    </row>
    <row r="976" spans="5:26" ht="39.75" customHeight="1">
      <c r="E976" s="84"/>
      <c r="F976" s="84"/>
      <c r="Y976" s="84"/>
      <c r="Z976" s="84"/>
    </row>
    <row r="977" spans="5:26" ht="39.75" customHeight="1">
      <c r="E977" s="84"/>
      <c r="F977" s="84"/>
      <c r="Y977" s="84"/>
      <c r="Z977" s="84"/>
    </row>
    <row r="978" spans="5:26" ht="39.75" customHeight="1">
      <c r="E978" s="84"/>
      <c r="F978" s="84"/>
      <c r="Y978" s="84"/>
      <c r="Z978" s="84"/>
    </row>
    <row r="979" spans="5:26" ht="39.75" customHeight="1">
      <c r="E979" s="84"/>
      <c r="F979" s="84"/>
      <c r="Y979" s="84"/>
      <c r="Z979" s="84"/>
    </row>
    <row r="980" spans="5:26" ht="39.75" customHeight="1">
      <c r="E980" s="84"/>
      <c r="F980" s="84"/>
      <c r="Y980" s="84"/>
      <c r="Z980" s="84"/>
    </row>
    <row r="981" spans="5:26" ht="39.75" customHeight="1">
      <c r="E981" s="84"/>
      <c r="F981" s="84"/>
      <c r="Y981" s="84"/>
      <c r="Z981" s="84"/>
    </row>
    <row r="982" spans="5:26" ht="39.75" customHeight="1">
      <c r="E982" s="84"/>
      <c r="F982" s="84"/>
      <c r="Y982" s="84"/>
      <c r="Z982" s="84"/>
    </row>
    <row r="983" spans="5:26" ht="39.75" customHeight="1">
      <c r="E983" s="84"/>
      <c r="F983" s="84"/>
      <c r="Y983" s="84"/>
      <c r="Z983" s="84"/>
    </row>
    <row r="984" spans="5:26" ht="39.75" customHeight="1">
      <c r="E984" s="84"/>
      <c r="F984" s="84"/>
      <c r="Y984" s="84"/>
      <c r="Z984" s="84"/>
    </row>
    <row r="985" spans="5:26" ht="39.75" customHeight="1">
      <c r="E985" s="84"/>
      <c r="F985" s="84"/>
      <c r="Y985" s="84"/>
      <c r="Z985" s="84"/>
    </row>
    <row r="986" spans="5:26" ht="39.75" customHeight="1">
      <c r="E986" s="84"/>
      <c r="F986" s="84"/>
      <c r="Y986" s="84"/>
      <c r="Z986" s="84"/>
    </row>
    <row r="987" spans="5:26" ht="39.75" customHeight="1">
      <c r="E987" s="84"/>
      <c r="F987" s="84"/>
      <c r="Y987" s="84"/>
      <c r="Z987" s="84"/>
    </row>
    <row r="988" spans="5:26" ht="39.75" customHeight="1">
      <c r="E988" s="84"/>
      <c r="F988" s="84"/>
      <c r="Y988" s="84"/>
      <c r="Z988" s="84"/>
    </row>
    <row r="989" spans="5:26" ht="39.75" customHeight="1">
      <c r="E989" s="84"/>
      <c r="F989" s="84"/>
      <c r="Y989" s="84"/>
      <c r="Z989" s="84"/>
    </row>
    <row r="990" spans="5:26" ht="39.75" customHeight="1">
      <c r="E990" s="84"/>
      <c r="F990" s="84"/>
      <c r="Y990" s="84"/>
      <c r="Z990" s="84"/>
    </row>
    <row r="991" spans="5:26" ht="39.75" customHeight="1">
      <c r="E991" s="84"/>
      <c r="F991" s="84"/>
      <c r="Y991" s="84"/>
      <c r="Z991" s="84"/>
    </row>
    <row r="992" spans="5:26" ht="39.75" customHeight="1">
      <c r="E992" s="84"/>
      <c r="F992" s="84"/>
      <c r="Y992" s="84"/>
      <c r="Z992" s="84"/>
    </row>
    <row r="993" spans="5:26" ht="39.75" customHeight="1">
      <c r="E993" s="84"/>
      <c r="F993" s="84"/>
      <c r="Y993" s="84"/>
      <c r="Z993" s="84"/>
    </row>
    <row r="994" spans="5:26" ht="39.75" customHeight="1">
      <c r="E994" s="84"/>
      <c r="F994" s="84"/>
      <c r="Y994" s="84"/>
      <c r="Z994" s="84"/>
    </row>
    <row r="995" spans="5:26" ht="39.75" customHeight="1">
      <c r="E995" s="84"/>
      <c r="F995" s="84"/>
      <c r="Y995" s="84"/>
      <c r="Z995" s="84"/>
    </row>
    <row r="996" spans="5:26" ht="39.75" customHeight="1">
      <c r="E996" s="84"/>
      <c r="F996" s="84"/>
      <c r="Y996" s="84"/>
      <c r="Z996" s="84"/>
    </row>
    <row r="997" spans="5:26" ht="39.75" customHeight="1">
      <c r="E997" s="84"/>
      <c r="F997" s="84"/>
      <c r="Y997" s="84"/>
      <c r="Z997" s="84"/>
    </row>
    <row r="998" spans="5:26" ht="39.75" customHeight="1">
      <c r="E998" s="84"/>
      <c r="F998" s="84"/>
      <c r="Y998" s="84"/>
      <c r="Z998" s="84"/>
    </row>
    <row r="999" spans="5:26" ht="39.75" customHeight="1">
      <c r="E999" s="84"/>
      <c r="F999" s="84"/>
      <c r="Y999" s="84"/>
      <c r="Z999" s="84"/>
    </row>
    <row r="1000" spans="5:26" ht="39.75" customHeight="1">
      <c r="E1000" s="84"/>
      <c r="F1000" s="84"/>
      <c r="Y1000" s="84"/>
      <c r="Z1000" s="84"/>
    </row>
    <row r="1001" spans="5:26" ht="39.75" customHeight="1">
      <c r="E1001" s="84"/>
      <c r="F1001" s="84"/>
      <c r="Y1001" s="84"/>
      <c r="Z1001" s="84"/>
    </row>
    <row r="1002" spans="5:26" ht="39.75" customHeight="1">
      <c r="E1002" s="84"/>
      <c r="F1002" s="84"/>
      <c r="Y1002" s="84"/>
      <c r="Z1002" s="84"/>
    </row>
    <row r="1003" spans="5:26" ht="39.75" customHeight="1">
      <c r="E1003" s="84"/>
      <c r="F1003" s="84"/>
      <c r="Y1003" s="84"/>
      <c r="Z1003" s="84"/>
    </row>
    <row r="1004" spans="5:26" ht="39.75" customHeight="1">
      <c r="E1004" s="84"/>
      <c r="F1004" s="84"/>
      <c r="Y1004" s="84"/>
      <c r="Z1004" s="84"/>
    </row>
    <row r="1005" spans="5:26" ht="39.75" customHeight="1">
      <c r="E1005" s="84"/>
      <c r="F1005" s="84"/>
      <c r="Y1005" s="84"/>
      <c r="Z1005" s="84"/>
    </row>
    <row r="1006" spans="5:26" ht="39.75" customHeight="1">
      <c r="E1006" s="84"/>
      <c r="F1006" s="84"/>
      <c r="Y1006" s="84"/>
      <c r="Z1006" s="84"/>
    </row>
    <row r="1007" spans="5:26" ht="39.75" customHeight="1">
      <c r="E1007" s="84"/>
      <c r="F1007" s="84"/>
      <c r="Y1007" s="84"/>
      <c r="Z1007" s="84"/>
    </row>
    <row r="1008" spans="5:26" ht="39.75" customHeight="1">
      <c r="E1008" s="84"/>
      <c r="F1008" s="84"/>
      <c r="Y1008" s="84"/>
      <c r="Z1008" s="84"/>
    </row>
    <row r="1009" spans="5:26" ht="39.75" customHeight="1">
      <c r="E1009" s="84"/>
      <c r="F1009" s="84"/>
      <c r="Y1009" s="84"/>
      <c r="Z1009" s="84"/>
    </row>
    <row r="1010" spans="5:26" ht="39.75" customHeight="1">
      <c r="E1010" s="84"/>
      <c r="F1010" s="84"/>
      <c r="Y1010" s="84"/>
      <c r="Z1010" s="84"/>
    </row>
    <row r="1011" spans="5:26" ht="39.75" customHeight="1">
      <c r="E1011" s="84"/>
      <c r="F1011" s="84"/>
      <c r="Y1011" s="84"/>
      <c r="Z1011" s="84"/>
    </row>
    <row r="1012" spans="5:26" ht="39.75" customHeight="1">
      <c r="E1012" s="84"/>
      <c r="F1012" s="84"/>
      <c r="Y1012" s="84"/>
      <c r="Z1012" s="84"/>
    </row>
    <row r="1013" spans="5:26" ht="39.75" customHeight="1">
      <c r="E1013" s="84"/>
      <c r="F1013" s="84"/>
      <c r="Y1013" s="84"/>
      <c r="Z1013" s="84"/>
    </row>
    <row r="1014" spans="5:26" ht="39.75" customHeight="1">
      <c r="E1014" s="84"/>
      <c r="F1014" s="84"/>
      <c r="Y1014" s="84"/>
      <c r="Z1014" s="84"/>
    </row>
    <row r="1015" spans="5:26" ht="39.75" customHeight="1">
      <c r="E1015" s="84"/>
      <c r="F1015" s="84"/>
      <c r="Y1015" s="84"/>
      <c r="Z1015" s="84"/>
    </row>
    <row r="1016" spans="5:26" ht="39.75" customHeight="1">
      <c r="E1016" s="84"/>
      <c r="F1016" s="84"/>
      <c r="Y1016" s="84"/>
      <c r="Z1016" s="84"/>
    </row>
    <row r="1017" spans="5:26" ht="39.75" customHeight="1">
      <c r="E1017" s="84"/>
      <c r="F1017" s="84"/>
      <c r="Y1017" s="84"/>
      <c r="Z1017" s="84"/>
    </row>
    <row r="1018" spans="5:26" ht="39.75" customHeight="1">
      <c r="E1018" s="84"/>
      <c r="F1018" s="84"/>
      <c r="Y1018" s="84"/>
      <c r="Z1018" s="84"/>
    </row>
    <row r="1019" spans="5:26" ht="39.75" customHeight="1">
      <c r="E1019" s="84"/>
      <c r="F1019" s="84"/>
      <c r="Y1019" s="84"/>
      <c r="Z1019" s="84"/>
    </row>
    <row r="1020" spans="5:26" ht="39.75" customHeight="1">
      <c r="E1020" s="84"/>
      <c r="F1020" s="84"/>
      <c r="Y1020" s="84"/>
      <c r="Z1020" s="84"/>
    </row>
    <row r="1021" spans="5:26" ht="39.75" customHeight="1">
      <c r="E1021" s="84"/>
      <c r="F1021" s="84"/>
      <c r="Y1021" s="84"/>
      <c r="Z1021" s="84"/>
    </row>
    <row r="1022" spans="5:26" ht="39.75" customHeight="1">
      <c r="E1022" s="84"/>
      <c r="F1022" s="84"/>
      <c r="Y1022" s="84"/>
      <c r="Z1022" s="84"/>
    </row>
    <row r="1023" spans="5:26" ht="39.75" customHeight="1">
      <c r="E1023" s="84"/>
      <c r="F1023" s="84"/>
      <c r="Y1023" s="84"/>
      <c r="Z1023" s="84"/>
    </row>
    <row r="1024" spans="5:26" ht="39.75" customHeight="1">
      <c r="E1024" s="84"/>
      <c r="F1024" s="84"/>
      <c r="Y1024" s="84"/>
      <c r="Z1024" s="84"/>
    </row>
    <row r="1025" spans="5:26" ht="39.75" customHeight="1">
      <c r="E1025" s="84"/>
      <c r="F1025" s="84"/>
      <c r="Y1025" s="84"/>
      <c r="Z1025" s="84"/>
    </row>
    <row r="1026" spans="5:26" ht="39.75" customHeight="1">
      <c r="E1026" s="84"/>
      <c r="F1026" s="84"/>
      <c r="Y1026" s="84"/>
      <c r="Z1026" s="84"/>
    </row>
    <row r="1027" spans="5:26" ht="39.75" customHeight="1">
      <c r="E1027" s="84"/>
      <c r="F1027" s="84"/>
      <c r="Y1027" s="84"/>
      <c r="Z1027" s="84"/>
    </row>
    <row r="1028" spans="5:26" ht="39.75" customHeight="1">
      <c r="E1028" s="84"/>
      <c r="F1028" s="84"/>
      <c r="Y1028" s="84"/>
      <c r="Z1028" s="84"/>
    </row>
    <row r="1029" spans="5:26" ht="39.75" customHeight="1">
      <c r="E1029" s="84"/>
      <c r="F1029" s="84"/>
      <c r="Y1029" s="84"/>
      <c r="Z1029" s="84"/>
    </row>
    <row r="1030" spans="5:26" ht="39.75" customHeight="1">
      <c r="E1030" s="84"/>
      <c r="F1030" s="84"/>
      <c r="Y1030" s="84"/>
      <c r="Z1030" s="84"/>
    </row>
    <row r="1031" spans="5:26" ht="39.75" customHeight="1">
      <c r="E1031" s="84"/>
      <c r="F1031" s="84"/>
      <c r="Y1031" s="84"/>
      <c r="Z1031" s="84"/>
    </row>
    <row r="1032" spans="5:26" ht="39.75" customHeight="1">
      <c r="E1032" s="84"/>
      <c r="F1032" s="84"/>
      <c r="Y1032" s="84"/>
      <c r="Z1032" s="84"/>
    </row>
    <row r="1033" spans="5:26" ht="39.75" customHeight="1">
      <c r="E1033" s="84"/>
      <c r="F1033" s="84"/>
      <c r="Y1033" s="84"/>
      <c r="Z1033" s="84"/>
    </row>
    <row r="1034" spans="5:26" ht="39.75" customHeight="1">
      <c r="E1034" s="84"/>
      <c r="F1034" s="84"/>
      <c r="Y1034" s="84"/>
      <c r="Z1034" s="84"/>
    </row>
    <row r="1035" spans="5:26" ht="39.75" customHeight="1">
      <c r="E1035" s="84"/>
      <c r="F1035" s="84"/>
      <c r="Y1035" s="84"/>
      <c r="Z1035" s="84"/>
    </row>
    <row r="1036" spans="5:26" ht="39.75" customHeight="1">
      <c r="E1036" s="84"/>
      <c r="F1036" s="84"/>
      <c r="Y1036" s="84"/>
      <c r="Z1036" s="84"/>
    </row>
    <row r="1037" spans="5:26" ht="39.75" customHeight="1">
      <c r="E1037" s="84"/>
      <c r="F1037" s="84"/>
      <c r="Y1037" s="84"/>
      <c r="Z1037" s="84"/>
    </row>
    <row r="1038" spans="5:26" ht="39.75" customHeight="1">
      <c r="E1038" s="84"/>
      <c r="F1038" s="84"/>
      <c r="Y1038" s="84"/>
      <c r="Z1038" s="84"/>
    </row>
    <row r="1039" spans="5:26" ht="39.75" customHeight="1">
      <c r="E1039" s="84"/>
      <c r="F1039" s="84"/>
      <c r="Y1039" s="84"/>
      <c r="Z1039" s="84"/>
    </row>
    <row r="1040" spans="5:26" ht="39.75" customHeight="1">
      <c r="E1040" s="84"/>
      <c r="F1040" s="84"/>
      <c r="Y1040" s="84"/>
      <c r="Z1040" s="84"/>
    </row>
    <row r="1041" spans="5:26" ht="39.75" customHeight="1">
      <c r="E1041" s="84"/>
      <c r="F1041" s="84"/>
      <c r="Y1041" s="84"/>
      <c r="Z1041" s="84"/>
    </row>
    <row r="1042" spans="5:26" ht="39.75" customHeight="1">
      <c r="E1042" s="84"/>
      <c r="F1042" s="84"/>
      <c r="Y1042" s="84"/>
      <c r="Z1042" s="84"/>
    </row>
    <row r="1043" spans="5:26" ht="39.75" customHeight="1">
      <c r="E1043" s="84"/>
      <c r="F1043" s="84"/>
      <c r="Y1043" s="84"/>
      <c r="Z1043" s="84"/>
    </row>
    <row r="1044" spans="5:26" ht="39.75" customHeight="1">
      <c r="E1044" s="84"/>
      <c r="F1044" s="84"/>
      <c r="Y1044" s="84"/>
      <c r="Z1044" s="84"/>
    </row>
    <row r="1045" spans="5:26" ht="39.75" customHeight="1">
      <c r="E1045" s="84"/>
      <c r="F1045" s="84"/>
      <c r="Y1045" s="84"/>
      <c r="Z1045" s="84"/>
    </row>
    <row r="1046" spans="5:26" ht="39.75" customHeight="1">
      <c r="E1046" s="84"/>
      <c r="F1046" s="84"/>
      <c r="Y1046" s="84"/>
      <c r="Z1046" s="84"/>
    </row>
    <row r="1047" spans="5:26" ht="39.75" customHeight="1">
      <c r="E1047" s="84"/>
      <c r="F1047" s="84"/>
      <c r="Y1047" s="84"/>
      <c r="Z1047" s="84"/>
    </row>
    <row r="1048" spans="5:26" ht="39.75" customHeight="1">
      <c r="E1048" s="84"/>
      <c r="F1048" s="84"/>
      <c r="Y1048" s="84"/>
      <c r="Z1048" s="84"/>
    </row>
    <row r="1049" spans="5:26" ht="39.75" customHeight="1">
      <c r="E1049" s="84"/>
      <c r="F1049" s="84"/>
      <c r="Y1049" s="84"/>
      <c r="Z1049" s="84"/>
    </row>
    <row r="1050" spans="5:26" ht="39.75" customHeight="1">
      <c r="E1050" s="84"/>
      <c r="F1050" s="84"/>
      <c r="Y1050" s="84"/>
      <c r="Z1050" s="84"/>
    </row>
    <row r="1051" spans="5:26" ht="39.75" customHeight="1">
      <c r="E1051" s="84"/>
      <c r="F1051" s="84"/>
      <c r="Y1051" s="84"/>
      <c r="Z1051" s="84"/>
    </row>
    <row r="1052" spans="5:26" ht="39.75" customHeight="1">
      <c r="E1052" s="84"/>
      <c r="F1052" s="84"/>
      <c r="Y1052" s="84"/>
      <c r="Z1052" s="84"/>
    </row>
    <row r="1053" spans="5:26" ht="39.75" customHeight="1">
      <c r="E1053" s="84"/>
      <c r="F1053" s="84"/>
      <c r="Y1053" s="84"/>
      <c r="Z1053" s="84"/>
    </row>
    <row r="1054" spans="5:26" ht="39.75" customHeight="1">
      <c r="E1054" s="84"/>
      <c r="F1054" s="84"/>
      <c r="Y1054" s="84"/>
      <c r="Z1054" s="84"/>
    </row>
    <row r="1055" spans="5:26" ht="39.75" customHeight="1">
      <c r="E1055" s="84"/>
      <c r="F1055" s="84"/>
      <c r="Y1055" s="84"/>
      <c r="Z1055" s="84"/>
    </row>
    <row r="1056" spans="5:26" ht="39.75" customHeight="1">
      <c r="E1056" s="84"/>
      <c r="F1056" s="84"/>
      <c r="Y1056" s="84"/>
      <c r="Z1056" s="84"/>
    </row>
    <row r="1057" spans="5:26" ht="39.75" customHeight="1">
      <c r="E1057" s="84"/>
      <c r="F1057" s="84"/>
      <c r="Y1057" s="84"/>
      <c r="Z1057" s="84"/>
    </row>
    <row r="1058" spans="5:26" ht="39.75" customHeight="1">
      <c r="E1058" s="84"/>
      <c r="F1058" s="84"/>
      <c r="Y1058" s="84"/>
      <c r="Z1058" s="84"/>
    </row>
    <row r="1059" spans="5:26" ht="39.75" customHeight="1">
      <c r="E1059" s="84"/>
      <c r="F1059" s="84"/>
      <c r="Y1059" s="84"/>
      <c r="Z1059" s="84"/>
    </row>
    <row r="1060" spans="5:26" ht="39.75" customHeight="1">
      <c r="E1060" s="84"/>
      <c r="F1060" s="84"/>
      <c r="Y1060" s="84"/>
      <c r="Z1060" s="84"/>
    </row>
    <row r="1061" spans="5:26" ht="39.75" customHeight="1">
      <c r="E1061" s="84"/>
      <c r="F1061" s="84"/>
      <c r="Y1061" s="84"/>
      <c r="Z1061" s="84"/>
    </row>
    <row r="1062" spans="5:26" ht="39.75" customHeight="1">
      <c r="E1062" s="84"/>
      <c r="F1062" s="84"/>
      <c r="Y1062" s="84"/>
      <c r="Z1062" s="84"/>
    </row>
    <row r="1063" spans="5:26" ht="39.75" customHeight="1">
      <c r="E1063" s="84"/>
      <c r="F1063" s="84"/>
      <c r="Y1063" s="84"/>
      <c r="Z1063" s="84"/>
    </row>
    <row r="1064" spans="5:26" ht="39.75" customHeight="1">
      <c r="E1064" s="84"/>
      <c r="F1064" s="84"/>
      <c r="Y1064" s="84"/>
      <c r="Z1064" s="84"/>
    </row>
    <row r="1065" spans="5:26" ht="39.75" customHeight="1">
      <c r="E1065" s="84"/>
      <c r="F1065" s="84"/>
      <c r="Y1065" s="84"/>
      <c r="Z1065" s="84"/>
    </row>
    <row r="1066" spans="5:26" ht="39.75" customHeight="1">
      <c r="E1066" s="84"/>
      <c r="F1066" s="84"/>
      <c r="Y1066" s="84"/>
      <c r="Z1066" s="84"/>
    </row>
    <row r="1067" spans="5:26" ht="39.75" customHeight="1">
      <c r="E1067" s="84"/>
      <c r="F1067" s="84"/>
      <c r="Y1067" s="84"/>
      <c r="Z1067" s="84"/>
    </row>
    <row r="1068" spans="5:26" ht="39.75" customHeight="1">
      <c r="E1068" s="84"/>
      <c r="F1068" s="84"/>
      <c r="Y1068" s="84"/>
      <c r="Z1068" s="84"/>
    </row>
    <row r="1069" spans="5:26" ht="39.75" customHeight="1">
      <c r="E1069" s="84"/>
      <c r="F1069" s="84"/>
      <c r="Y1069" s="84"/>
      <c r="Z1069" s="84"/>
    </row>
    <row r="1070" spans="5:26" ht="39.75" customHeight="1">
      <c r="E1070" s="84"/>
      <c r="F1070" s="84"/>
      <c r="Y1070" s="84"/>
      <c r="Z1070" s="84"/>
    </row>
    <row r="1071" spans="5:26" ht="39.75" customHeight="1">
      <c r="E1071" s="84"/>
      <c r="F1071" s="84"/>
      <c r="Y1071" s="84"/>
      <c r="Z1071" s="84"/>
    </row>
    <row r="1072" spans="5:26" ht="39.75" customHeight="1">
      <c r="E1072" s="84"/>
      <c r="F1072" s="84"/>
      <c r="Y1072" s="84"/>
      <c r="Z1072" s="84"/>
    </row>
    <row r="1073" spans="5:26" ht="39.75" customHeight="1">
      <c r="E1073" s="84"/>
      <c r="F1073" s="84"/>
      <c r="Y1073" s="84"/>
      <c r="Z1073" s="84"/>
    </row>
    <row r="1074" spans="5:26" ht="39.75" customHeight="1">
      <c r="E1074" s="84"/>
      <c r="F1074" s="84"/>
      <c r="Y1074" s="84"/>
      <c r="Z1074" s="84"/>
    </row>
    <row r="1075" spans="5:26" ht="39.75" customHeight="1">
      <c r="E1075" s="84"/>
      <c r="F1075" s="84"/>
      <c r="Y1075" s="84"/>
      <c r="Z1075" s="84"/>
    </row>
    <row r="1076" spans="5:26" ht="39.75" customHeight="1">
      <c r="E1076" s="84"/>
      <c r="F1076" s="84"/>
      <c r="Y1076" s="84"/>
      <c r="Z1076" s="84"/>
    </row>
    <row r="1077" spans="5:26" ht="39.75" customHeight="1">
      <c r="E1077" s="84"/>
      <c r="F1077" s="84"/>
      <c r="Y1077" s="84"/>
      <c r="Z1077" s="84"/>
    </row>
    <row r="1078" spans="5:26" ht="39.75" customHeight="1">
      <c r="E1078" s="84"/>
      <c r="F1078" s="84"/>
      <c r="Y1078" s="84"/>
      <c r="Z1078" s="84"/>
    </row>
    <row r="1079" spans="5:26" ht="39.75" customHeight="1">
      <c r="E1079" s="84"/>
      <c r="F1079" s="84"/>
      <c r="Y1079" s="84"/>
      <c r="Z1079" s="84"/>
    </row>
    <row r="1080" spans="5:26" ht="39.75" customHeight="1">
      <c r="E1080" s="84"/>
      <c r="F1080" s="84"/>
      <c r="Y1080" s="84"/>
      <c r="Z1080" s="84"/>
    </row>
    <row r="1081" spans="5:26" ht="39.75" customHeight="1">
      <c r="E1081" s="84"/>
      <c r="F1081" s="84"/>
      <c r="Y1081" s="84"/>
      <c r="Z1081" s="84"/>
    </row>
    <row r="1082" spans="5:26" ht="39.75" customHeight="1">
      <c r="E1082" s="84"/>
      <c r="F1082" s="84"/>
      <c r="Y1082" s="84"/>
      <c r="Z1082" s="84"/>
    </row>
    <row r="1083" spans="5:26" ht="39.75" customHeight="1">
      <c r="E1083" s="84"/>
      <c r="F1083" s="84"/>
      <c r="Y1083" s="84"/>
      <c r="Z1083" s="84"/>
    </row>
    <row r="1084" spans="5:26" ht="39.75" customHeight="1">
      <c r="E1084" s="84"/>
      <c r="F1084" s="84"/>
      <c r="Y1084" s="84"/>
      <c r="Z1084" s="84"/>
    </row>
    <row r="1085" spans="5:26" ht="39.75" customHeight="1">
      <c r="E1085" s="84"/>
      <c r="F1085" s="84"/>
      <c r="Y1085" s="84"/>
      <c r="Z1085" s="84"/>
    </row>
    <row r="1086" spans="5:26" ht="39.75" customHeight="1">
      <c r="E1086" s="84"/>
      <c r="F1086" s="84"/>
      <c r="Y1086" s="84"/>
      <c r="Z1086" s="84"/>
    </row>
    <row r="1087" spans="5:26" ht="39.75" customHeight="1">
      <c r="E1087" s="84"/>
      <c r="F1087" s="84"/>
      <c r="Y1087" s="84"/>
      <c r="Z1087" s="84"/>
    </row>
    <row r="1088" spans="5:26" ht="39.75" customHeight="1">
      <c r="E1088" s="84"/>
      <c r="F1088" s="84"/>
      <c r="Y1088" s="84"/>
      <c r="Z1088" s="84"/>
    </row>
    <row r="1089" spans="5:26" ht="39.75" customHeight="1">
      <c r="E1089" s="84"/>
      <c r="F1089" s="84"/>
      <c r="Y1089" s="84"/>
      <c r="Z1089" s="84"/>
    </row>
    <row r="1090" spans="5:26" ht="39.75" customHeight="1">
      <c r="E1090" s="84"/>
      <c r="F1090" s="84"/>
      <c r="Y1090" s="84"/>
      <c r="Z1090" s="84"/>
    </row>
    <row r="1091" spans="5:26" ht="39.75" customHeight="1">
      <c r="E1091" s="84"/>
      <c r="F1091" s="84"/>
      <c r="Y1091" s="84"/>
      <c r="Z1091" s="84"/>
    </row>
    <row r="1092" spans="5:26" ht="39.75" customHeight="1">
      <c r="E1092" s="84"/>
      <c r="F1092" s="84"/>
      <c r="Y1092" s="84"/>
      <c r="Z1092" s="84"/>
    </row>
    <row r="1093" spans="5:26" ht="39.75" customHeight="1">
      <c r="E1093" s="84"/>
      <c r="F1093" s="84"/>
      <c r="Y1093" s="84"/>
      <c r="Z1093" s="84"/>
    </row>
    <row r="1094" spans="5:26" ht="39.75" customHeight="1">
      <c r="E1094" s="84"/>
      <c r="F1094" s="84"/>
      <c r="Y1094" s="84"/>
      <c r="Z1094" s="84"/>
    </row>
    <row r="1095" spans="5:26" ht="39.75" customHeight="1">
      <c r="E1095" s="84"/>
      <c r="F1095" s="84"/>
      <c r="Y1095" s="84"/>
      <c r="Z1095" s="84"/>
    </row>
    <row r="1096" spans="5:26" ht="39.75" customHeight="1">
      <c r="E1096" s="84"/>
      <c r="F1096" s="84"/>
      <c r="Y1096" s="84"/>
      <c r="Z1096" s="84"/>
    </row>
    <row r="1097" spans="5:26" ht="39.75" customHeight="1">
      <c r="E1097" s="84"/>
      <c r="F1097" s="84"/>
      <c r="Y1097" s="84"/>
      <c r="Z1097" s="84"/>
    </row>
    <row r="1098" spans="5:26" ht="39.75" customHeight="1">
      <c r="E1098" s="84"/>
      <c r="F1098" s="84"/>
      <c r="Y1098" s="84"/>
      <c r="Z1098" s="84"/>
    </row>
    <row r="1099" spans="5:26" ht="39.75" customHeight="1">
      <c r="E1099" s="84"/>
      <c r="F1099" s="84"/>
      <c r="Y1099" s="84"/>
      <c r="Z1099" s="84"/>
    </row>
    <row r="1100" spans="5:26" ht="39.75" customHeight="1">
      <c r="E1100" s="84"/>
      <c r="F1100" s="84"/>
      <c r="Y1100" s="84"/>
      <c r="Z1100" s="84"/>
    </row>
    <row r="1101" spans="5:26" ht="39.75" customHeight="1">
      <c r="E1101" s="84"/>
      <c r="F1101" s="84"/>
      <c r="Y1101" s="84"/>
      <c r="Z1101" s="84"/>
    </row>
    <row r="1102" spans="5:26" ht="39.75" customHeight="1">
      <c r="E1102" s="84"/>
      <c r="F1102" s="84"/>
      <c r="Y1102" s="84"/>
      <c r="Z1102" s="84"/>
    </row>
    <row r="1103" spans="5:26" ht="39.75" customHeight="1">
      <c r="E1103" s="84"/>
      <c r="F1103" s="84"/>
      <c r="Y1103" s="84"/>
      <c r="Z1103" s="84"/>
    </row>
    <row r="1104" spans="5:26" ht="39.75" customHeight="1">
      <c r="E1104" s="84"/>
      <c r="F1104" s="84"/>
      <c r="Y1104" s="84"/>
      <c r="Z1104" s="84"/>
    </row>
    <row r="1105" spans="5:26" ht="39.75" customHeight="1">
      <c r="E1105" s="84"/>
      <c r="F1105" s="84"/>
      <c r="Y1105" s="84"/>
      <c r="Z1105" s="84"/>
    </row>
    <row r="1106" spans="5:26" ht="39.75" customHeight="1">
      <c r="E1106" s="84"/>
      <c r="F1106" s="84"/>
      <c r="Y1106" s="84"/>
      <c r="Z1106" s="84"/>
    </row>
    <row r="1107" spans="5:26" ht="39.75" customHeight="1">
      <c r="E1107" s="84"/>
      <c r="F1107" s="84"/>
      <c r="Y1107" s="84"/>
      <c r="Z1107" s="84"/>
    </row>
    <row r="1108" spans="5:26" ht="39.75" customHeight="1">
      <c r="E1108" s="84"/>
      <c r="F1108" s="84"/>
      <c r="Y1108" s="84"/>
      <c r="Z1108" s="84"/>
    </row>
    <row r="1109" spans="5:26" ht="39.75" customHeight="1">
      <c r="E1109" s="84"/>
      <c r="F1109" s="84"/>
      <c r="Y1109" s="84"/>
      <c r="Z1109" s="84"/>
    </row>
    <row r="1110" spans="5:26" ht="39.75" customHeight="1">
      <c r="E1110" s="84"/>
      <c r="F1110" s="84"/>
      <c r="Y1110" s="84"/>
      <c r="Z1110" s="84"/>
    </row>
    <row r="1111" spans="5:26" ht="39.75" customHeight="1">
      <c r="E1111" s="84"/>
      <c r="F1111" s="84"/>
      <c r="Y1111" s="84"/>
      <c r="Z1111" s="84"/>
    </row>
    <row r="1112" spans="5:26" ht="39.75" customHeight="1">
      <c r="E1112" s="84"/>
      <c r="F1112" s="84"/>
      <c r="Y1112" s="84"/>
      <c r="Z1112" s="84"/>
    </row>
    <row r="1113" spans="5:26" ht="39.75" customHeight="1">
      <c r="E1113" s="84"/>
      <c r="F1113" s="84"/>
      <c r="Y1113" s="84"/>
      <c r="Z1113" s="84"/>
    </row>
    <row r="1114" spans="5:26" ht="39.75" customHeight="1">
      <c r="E1114" s="84"/>
      <c r="F1114" s="84"/>
      <c r="Y1114" s="84"/>
      <c r="Z1114" s="84"/>
    </row>
    <row r="1115" spans="5:26" ht="39.75" customHeight="1">
      <c r="E1115" s="84"/>
      <c r="F1115" s="84"/>
      <c r="Y1115" s="84"/>
      <c r="Z1115" s="84"/>
    </row>
    <row r="1116" spans="5:26" ht="39.75" customHeight="1">
      <c r="E1116" s="84"/>
      <c r="F1116" s="84"/>
      <c r="Y1116" s="84"/>
      <c r="Z1116" s="84"/>
    </row>
    <row r="1117" spans="5:26" ht="39.75" customHeight="1">
      <c r="E1117" s="84"/>
      <c r="F1117" s="84"/>
      <c r="Y1117" s="84"/>
      <c r="Z1117" s="84"/>
    </row>
    <row r="1118" spans="5:26" ht="39.75" customHeight="1">
      <c r="E1118" s="84"/>
      <c r="F1118" s="84"/>
      <c r="Y1118" s="84"/>
      <c r="Z1118" s="84"/>
    </row>
    <row r="1119" spans="5:26" ht="39.75" customHeight="1">
      <c r="E1119" s="84"/>
      <c r="F1119" s="84"/>
      <c r="Y1119" s="84"/>
      <c r="Z1119" s="84"/>
    </row>
    <row r="1120" spans="5:26" ht="39.75" customHeight="1">
      <c r="E1120" s="84"/>
      <c r="F1120" s="84"/>
      <c r="Y1120" s="84"/>
      <c r="Z1120" s="84"/>
    </row>
    <row r="1121" spans="5:26" ht="39.75" customHeight="1">
      <c r="E1121" s="84"/>
      <c r="F1121" s="84"/>
      <c r="Y1121" s="84"/>
      <c r="Z1121" s="84"/>
    </row>
    <row r="1122" spans="5:26" ht="39.75" customHeight="1">
      <c r="E1122" s="84"/>
      <c r="F1122" s="84"/>
      <c r="Y1122" s="84"/>
      <c r="Z1122" s="84"/>
    </row>
  </sheetData>
  <sheetProtection algorithmName="SHA-512" hashValue="O5Go7dbxke1QZhQaxdW7BN4kiVKdUOK20/rbmws0fB2II6r24UphTeAzmKlsoBY0DKnTH5KcdtuGmtPYJBxGyg==" saltValue="uMMJqQPqpjJHJFgmku0x2A==" spinCount="100000" sheet="1" objects="1" scenarios="1"/>
  <mergeCells count="252">
    <mergeCell ref="B68:B71"/>
    <mergeCell ref="C68:C71"/>
    <mergeCell ref="O68:O71"/>
    <mergeCell ref="P68:P71"/>
    <mergeCell ref="Q68:Q71"/>
    <mergeCell ref="S68:S71"/>
    <mergeCell ref="T68:T71"/>
    <mergeCell ref="U68:U71"/>
    <mergeCell ref="N42:N43"/>
    <mergeCell ref="P42:P43"/>
    <mergeCell ref="Q42:Q43"/>
    <mergeCell ref="F63:F67"/>
    <mergeCell ref="G63:G67"/>
    <mergeCell ref="H63:H67"/>
    <mergeCell ref="R47:R48"/>
    <mergeCell ref="Q57:Q58"/>
    <mergeCell ref="C55:C56"/>
    <mergeCell ref="C47:C48"/>
    <mergeCell ref="C42:C43"/>
    <mergeCell ref="B42:B43"/>
    <mergeCell ref="B60:B61"/>
    <mergeCell ref="V33:V34"/>
    <mergeCell ref="U35:U36"/>
    <mergeCell ref="U38:U39"/>
    <mergeCell ref="U42:U43"/>
    <mergeCell ref="U44:U45"/>
    <mergeCell ref="U55:U56"/>
    <mergeCell ref="U57:U58"/>
    <mergeCell ref="U60:U61"/>
    <mergeCell ref="R42:R43"/>
    <mergeCell ref="V35:V36"/>
    <mergeCell ref="U40:U41"/>
    <mergeCell ref="V38:V39"/>
    <mergeCell ref="V40:V41"/>
    <mergeCell ref="V42:V43"/>
    <mergeCell ref="V44:V45"/>
    <mergeCell ref="T38:T39"/>
    <mergeCell ref="N73:N74"/>
    <mergeCell ref="O73:O74"/>
    <mergeCell ref="P73:P74"/>
    <mergeCell ref="Q73:Q74"/>
    <mergeCell ref="R73:R74"/>
    <mergeCell ref="S73:S74"/>
    <mergeCell ref="T73:T74"/>
    <mergeCell ref="V47:V48"/>
    <mergeCell ref="N57:N58"/>
    <mergeCell ref="P57:P58"/>
    <mergeCell ref="R57:R58"/>
    <mergeCell ref="V73:V74"/>
    <mergeCell ref="V55:V56"/>
    <mergeCell ref="V57:V58"/>
    <mergeCell ref="V49:V50"/>
    <mergeCell ref="N49:N50"/>
    <mergeCell ref="N76:O76"/>
    <mergeCell ref="V60:V71"/>
    <mergeCell ref="I63:I67"/>
    <mergeCell ref="J63:J67"/>
    <mergeCell ref="M63:M67"/>
    <mergeCell ref="N60:N71"/>
    <mergeCell ref="O57:O58"/>
    <mergeCell ref="N55:N56"/>
    <mergeCell ref="R70:R71"/>
    <mergeCell ref="O62:O67"/>
    <mergeCell ref="K63:K67"/>
    <mergeCell ref="R55:R56"/>
    <mergeCell ref="Q55:Q56"/>
    <mergeCell ref="S60:S61"/>
    <mergeCell ref="T60:T61"/>
    <mergeCell ref="S57:S58"/>
    <mergeCell ref="S55:S56"/>
    <mergeCell ref="T55:T56"/>
    <mergeCell ref="U73:U74"/>
    <mergeCell ref="L63:L67"/>
    <mergeCell ref="O60:O61"/>
    <mergeCell ref="P60:P61"/>
    <mergeCell ref="Q60:Q61"/>
    <mergeCell ref="R60:R61"/>
    <mergeCell ref="P62:P67"/>
    <mergeCell ref="S42:S43"/>
    <mergeCell ref="S40:S41"/>
    <mergeCell ref="O42:O43"/>
    <mergeCell ref="T44:T45"/>
    <mergeCell ref="T49:T50"/>
    <mergeCell ref="T57:T58"/>
    <mergeCell ref="T42:T43"/>
    <mergeCell ref="Q38:Q39"/>
    <mergeCell ref="S49:S50"/>
    <mergeCell ref="O55:O56"/>
    <mergeCell ref="P55:P56"/>
    <mergeCell ref="O49:O50"/>
    <mergeCell ref="P49:P50"/>
    <mergeCell ref="Q49:Q50"/>
    <mergeCell ref="U21:U24"/>
    <mergeCell ref="U18:U20"/>
    <mergeCell ref="U49:U50"/>
    <mergeCell ref="U47:U48"/>
    <mergeCell ref="U30:U32"/>
    <mergeCell ref="T18:T20"/>
    <mergeCell ref="R38:R39"/>
    <mergeCell ref="N38:N39"/>
    <mergeCell ref="T21:T24"/>
    <mergeCell ref="N35:N36"/>
    <mergeCell ref="O35:O36"/>
    <mergeCell ref="P28:P29"/>
    <mergeCell ref="U33:U34"/>
    <mergeCell ref="N18:N32"/>
    <mergeCell ref="T33:T34"/>
    <mergeCell ref="Q28:Q29"/>
    <mergeCell ref="R28:R29"/>
    <mergeCell ref="S28:S29"/>
    <mergeCell ref="T28:T29"/>
    <mergeCell ref="P44:P45"/>
    <mergeCell ref="R49:R50"/>
    <mergeCell ref="Q47:Q48"/>
    <mergeCell ref="R40:R41"/>
    <mergeCell ref="T30:T32"/>
    <mergeCell ref="S44:S45"/>
    <mergeCell ref="S47:S48"/>
    <mergeCell ref="T47:T48"/>
    <mergeCell ref="Q44:Q45"/>
    <mergeCell ref="R44:R45"/>
    <mergeCell ref="P38:P39"/>
    <mergeCell ref="O33:O34"/>
    <mergeCell ref="P33:P34"/>
    <mergeCell ref="U28:U29"/>
    <mergeCell ref="T40:T41"/>
    <mergeCell ref="Q33:Q34"/>
    <mergeCell ref="R33:R34"/>
    <mergeCell ref="S33:S34"/>
    <mergeCell ref="N44:N45"/>
    <mergeCell ref="N47:N48"/>
    <mergeCell ref="O40:O41"/>
    <mergeCell ref="P40:P41"/>
    <mergeCell ref="Q40:Q41"/>
    <mergeCell ref="N40:N41"/>
    <mergeCell ref="O44:O45"/>
    <mergeCell ref="O47:O48"/>
    <mergeCell ref="P47:P48"/>
    <mergeCell ref="C40:C41"/>
    <mergeCell ref="B30:B32"/>
    <mergeCell ref="C30:C32"/>
    <mergeCell ref="B33:B34"/>
    <mergeCell ref="C33:C34"/>
    <mergeCell ref="A18:A20"/>
    <mergeCell ref="N33:N34"/>
    <mergeCell ref="T35:T36"/>
    <mergeCell ref="S38:S39"/>
    <mergeCell ref="A42:A43"/>
    <mergeCell ref="A15:A16"/>
    <mergeCell ref="B15:B16"/>
    <mergeCell ref="A28:A29"/>
    <mergeCell ref="A33:A34"/>
    <mergeCell ref="A35:A36"/>
    <mergeCell ref="B35:B36"/>
    <mergeCell ref="B40:B41"/>
    <mergeCell ref="A30:A32"/>
    <mergeCell ref="A68:A71"/>
    <mergeCell ref="A90:B90"/>
    <mergeCell ref="A21:A24"/>
    <mergeCell ref="O28:O29"/>
    <mergeCell ref="B78:D78"/>
    <mergeCell ref="B79:D79"/>
    <mergeCell ref="B87:D87"/>
    <mergeCell ref="A38:A39"/>
    <mergeCell ref="B38:B39"/>
    <mergeCell ref="C38:C39"/>
    <mergeCell ref="O38:O39"/>
    <mergeCell ref="A40:A41"/>
    <mergeCell ref="A55:A56"/>
    <mergeCell ref="B55:B56"/>
    <mergeCell ref="A49:A50"/>
    <mergeCell ref="B86:D86"/>
    <mergeCell ref="B84:D84"/>
    <mergeCell ref="B85:D85"/>
    <mergeCell ref="B80:D80"/>
    <mergeCell ref="B81:D81"/>
    <mergeCell ref="B82:D82"/>
    <mergeCell ref="B83:D83"/>
    <mergeCell ref="B77:D77"/>
    <mergeCell ref="A47:A48"/>
    <mergeCell ref="A3:V3"/>
    <mergeCell ref="P21:P24"/>
    <mergeCell ref="A76:D76"/>
    <mergeCell ref="A77:A87"/>
    <mergeCell ref="A57:A58"/>
    <mergeCell ref="A73:A74"/>
    <mergeCell ref="B73:B74"/>
    <mergeCell ref="C73:C74"/>
    <mergeCell ref="B57:B58"/>
    <mergeCell ref="C57:C58"/>
    <mergeCell ref="A62:A67"/>
    <mergeCell ref="B49:B50"/>
    <mergeCell ref="C49:C50"/>
    <mergeCell ref="E63:E67"/>
    <mergeCell ref="A60:A61"/>
    <mergeCell ref="A44:A45"/>
    <mergeCell ref="B28:B29"/>
    <mergeCell ref="D63:D67"/>
    <mergeCell ref="B62:B67"/>
    <mergeCell ref="C62:C67"/>
    <mergeCell ref="B44:B45"/>
    <mergeCell ref="B47:B48"/>
    <mergeCell ref="C60:C61"/>
    <mergeCell ref="C44:C45"/>
    <mergeCell ref="C28:C29"/>
    <mergeCell ref="A2:O2"/>
    <mergeCell ref="A12:V12"/>
    <mergeCell ref="B21:B24"/>
    <mergeCell ref="R2:V2"/>
    <mergeCell ref="A11:E11"/>
    <mergeCell ref="V15:V16"/>
    <mergeCell ref="B18:B20"/>
    <mergeCell ref="C18:C20"/>
    <mergeCell ref="H15:H16"/>
    <mergeCell ref="O18:O20"/>
    <mergeCell ref="Q18:Q20"/>
    <mergeCell ref="R18:R20"/>
    <mergeCell ref="A14:O14"/>
    <mergeCell ref="P18:P20"/>
    <mergeCell ref="O15:O16"/>
    <mergeCell ref="Q15:Q16"/>
    <mergeCell ref="V18:V32"/>
    <mergeCell ref="Q21:Q24"/>
    <mergeCell ref="R21:R24"/>
    <mergeCell ref="S21:S24"/>
    <mergeCell ref="M15:M16"/>
    <mergeCell ref="R15:U15"/>
    <mergeCell ref="D15:D16"/>
    <mergeCell ref="A1:O1"/>
    <mergeCell ref="P15:P16"/>
    <mergeCell ref="E15:E16"/>
    <mergeCell ref="P35:P36"/>
    <mergeCell ref="Q35:Q36"/>
    <mergeCell ref="R35:R36"/>
    <mergeCell ref="S35:S36"/>
    <mergeCell ref="C21:C24"/>
    <mergeCell ref="O21:O24"/>
    <mergeCell ref="K15:K16"/>
    <mergeCell ref="L15:L16"/>
    <mergeCell ref="N15:N16"/>
    <mergeCell ref="S18:S20"/>
    <mergeCell ref="F15:F16"/>
    <mergeCell ref="O30:O32"/>
    <mergeCell ref="P30:P32"/>
    <mergeCell ref="Q30:Q32"/>
    <mergeCell ref="R30:R32"/>
    <mergeCell ref="S30:S32"/>
    <mergeCell ref="G15:G16"/>
    <mergeCell ref="I15:I16"/>
    <mergeCell ref="J15:J16"/>
    <mergeCell ref="C35:C36"/>
    <mergeCell ref="C15:C16"/>
  </mergeCells>
  <conditionalFormatting sqref="G16:H16 E15:H15 K15:L16 N15:O15">
    <cfRule type="dataBar" priority="6">
      <dataBar>
        <cfvo type="min"/>
        <cfvo type="max"/>
        <color rgb="FF638EC6"/>
      </dataBar>
      <extLst>
        <ext xmlns:x14="http://schemas.microsoft.com/office/spreadsheetml/2009/9/main" uri="{B025F937-C7B1-47D3-B67F-A62EFF666E3E}">
          <x14:id>{0521AD24-E4FE-4337-B16A-F2B20FA85FBF}</x14:id>
        </ext>
      </extLst>
    </cfRule>
  </conditionalFormatting>
  <conditionalFormatting sqref="I15:J15">
    <cfRule type="dataBar" priority="4">
      <dataBar>
        <cfvo type="min"/>
        <cfvo type="max"/>
        <color rgb="FF638EC6"/>
      </dataBar>
      <extLst>
        <ext xmlns:x14="http://schemas.microsoft.com/office/spreadsheetml/2009/9/main" uri="{B025F937-C7B1-47D3-B67F-A62EFF666E3E}">
          <x14:id>{58FB212F-B1F3-4B8F-8CCE-8C9CA197742E}</x14:id>
        </ext>
      </extLst>
    </cfRule>
  </conditionalFormatting>
  <conditionalFormatting sqref="J16">
    <cfRule type="dataBar" priority="3">
      <dataBar>
        <cfvo type="min"/>
        <cfvo type="max"/>
        <color rgb="FF638EC6"/>
      </dataBar>
      <extLst>
        <ext xmlns:x14="http://schemas.microsoft.com/office/spreadsheetml/2009/9/main" uri="{B025F937-C7B1-47D3-B67F-A62EFF666E3E}">
          <x14:id>{8F453F47-2B0B-4A81-83DE-BC556920CA43}</x14:id>
        </ext>
      </extLst>
    </cfRule>
  </conditionalFormatting>
  <conditionalFormatting sqref="M15">
    <cfRule type="dataBar" priority="2">
      <dataBar>
        <cfvo type="min"/>
        <cfvo type="max"/>
        <color rgb="FF638EC6"/>
      </dataBar>
      <extLst>
        <ext xmlns:x14="http://schemas.microsoft.com/office/spreadsheetml/2009/9/main" uri="{B025F937-C7B1-47D3-B67F-A62EFF666E3E}">
          <x14:id>{1013D184-84FA-4661-B57F-697C4C5A1BA4}</x14:id>
        </ext>
      </extLst>
    </cfRule>
  </conditionalFormatting>
  <conditionalFormatting sqref="M16">
    <cfRule type="dataBar" priority="1">
      <dataBar>
        <cfvo type="min"/>
        <cfvo type="max"/>
        <color rgb="FF638EC6"/>
      </dataBar>
      <extLst>
        <ext xmlns:x14="http://schemas.microsoft.com/office/spreadsheetml/2009/9/main" uri="{B025F937-C7B1-47D3-B67F-A62EFF666E3E}">
          <x14:id>{799DADD0-B6F4-480C-AD18-C6D3F217FF9E}</x14:id>
        </ext>
      </extLst>
    </cfRule>
  </conditionalFormatting>
  <pageMargins left="0.70866141732283472" right="0.70866141732283472" top="0.74803149606299213" bottom="0.74803149606299213" header="0.31496062992125984" footer="0.31496062992125984"/>
  <pageSetup paperSize="8" scale="70" fitToWidth="0" fitToHeight="0" pageOrder="overThenDown" orientation="landscape" r:id="rId1"/>
  <extLst>
    <ext xmlns:x14="http://schemas.microsoft.com/office/spreadsheetml/2009/9/main" uri="{78C0D931-6437-407d-A8EE-F0AAD7539E65}">
      <x14:conditionalFormattings>
        <x14:conditionalFormatting xmlns:xm="http://schemas.microsoft.com/office/excel/2006/main">
          <x14:cfRule type="dataBar" id="{0521AD24-E4FE-4337-B16A-F2B20FA85FBF}">
            <x14:dataBar minLength="0" maxLength="100" border="1" negativeBarBorderColorSameAsPositive="0">
              <x14:cfvo type="autoMin"/>
              <x14:cfvo type="autoMax"/>
              <x14:borderColor rgb="FF638EC6"/>
              <x14:negativeFillColor rgb="FFFF0000"/>
              <x14:negativeBorderColor rgb="FFFF0000"/>
              <x14:axisColor rgb="FF000000"/>
            </x14:dataBar>
          </x14:cfRule>
          <xm:sqref>G16:H16 E15:H15 K15:L16 N15:O15</xm:sqref>
        </x14:conditionalFormatting>
        <x14:conditionalFormatting xmlns:xm="http://schemas.microsoft.com/office/excel/2006/main">
          <x14:cfRule type="dataBar" id="{58FB212F-B1F3-4B8F-8CCE-8C9CA197742E}">
            <x14:dataBar minLength="0" maxLength="100" border="1" negativeBarBorderColorSameAsPositive="0">
              <x14:cfvo type="autoMin"/>
              <x14:cfvo type="autoMax"/>
              <x14:borderColor rgb="FF638EC6"/>
              <x14:negativeFillColor rgb="FFFF0000"/>
              <x14:negativeBorderColor rgb="FFFF0000"/>
              <x14:axisColor rgb="FF000000"/>
            </x14:dataBar>
          </x14:cfRule>
          <xm:sqref>I15:J15</xm:sqref>
        </x14:conditionalFormatting>
        <x14:conditionalFormatting xmlns:xm="http://schemas.microsoft.com/office/excel/2006/main">
          <x14:cfRule type="dataBar" id="{8F453F47-2B0B-4A81-83DE-BC556920CA43}">
            <x14:dataBar minLength="0" maxLength="100" border="1" negativeBarBorderColorSameAsPositive="0">
              <x14:cfvo type="autoMin"/>
              <x14:cfvo type="autoMax"/>
              <x14:borderColor rgb="FF638EC6"/>
              <x14:negativeFillColor rgb="FFFF0000"/>
              <x14:negativeBorderColor rgb="FFFF0000"/>
              <x14:axisColor rgb="FF000000"/>
            </x14:dataBar>
          </x14:cfRule>
          <xm:sqref>J16</xm:sqref>
        </x14:conditionalFormatting>
        <x14:conditionalFormatting xmlns:xm="http://schemas.microsoft.com/office/excel/2006/main">
          <x14:cfRule type="dataBar" id="{1013D184-84FA-4661-B57F-697C4C5A1BA4}">
            <x14:dataBar minLength="0" maxLength="100" border="1" negativeBarBorderColorSameAsPositive="0">
              <x14:cfvo type="autoMin"/>
              <x14:cfvo type="autoMax"/>
              <x14:borderColor rgb="FF638EC6"/>
              <x14:negativeFillColor rgb="FFFF0000"/>
              <x14:negativeBorderColor rgb="FFFF0000"/>
              <x14:axisColor rgb="FF000000"/>
            </x14:dataBar>
          </x14:cfRule>
          <xm:sqref>M15</xm:sqref>
        </x14:conditionalFormatting>
        <x14:conditionalFormatting xmlns:xm="http://schemas.microsoft.com/office/excel/2006/main">
          <x14:cfRule type="dataBar" id="{799DADD0-B6F4-480C-AD18-C6D3F217FF9E}">
            <x14:dataBar minLength="0" maxLength="100" border="1" negativeBarBorderColorSameAsPositive="0">
              <x14:cfvo type="autoMin"/>
              <x14:cfvo type="autoMax"/>
              <x14:borderColor rgb="FF638EC6"/>
              <x14:negativeFillColor rgb="FFFF0000"/>
              <x14:negativeBorderColor rgb="FFFF0000"/>
              <x14:axisColor rgb="FF000000"/>
            </x14:dataBar>
          </x14:cfRule>
          <xm:sqref>M16</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CEE27-589B-48F3-82CA-C3BF7E8DD453}">
  <dimension ref="A1:Z1322"/>
  <sheetViews>
    <sheetView zoomScale="91" zoomScaleNormal="91" zoomScaleSheetLayoutView="100" workbookViewId="0">
      <selection activeCell="Q16" sqref="Q16:Q18"/>
    </sheetView>
  </sheetViews>
  <sheetFormatPr defaultColWidth="9.140625" defaultRowHeight="12.75"/>
  <cols>
    <col min="1" max="1" width="16.28515625" style="84" customWidth="1"/>
    <col min="2" max="2" width="37.42578125" style="84" customWidth="1"/>
    <col min="3" max="3" width="6.7109375" style="84" customWidth="1"/>
    <col min="4" max="4" width="8.140625" style="84" customWidth="1"/>
    <col min="5" max="6" width="10.7109375" style="86" hidden="1" customWidth="1"/>
    <col min="7" max="7" width="10.7109375" style="84" hidden="1" customWidth="1"/>
    <col min="8" max="9" width="15.7109375" style="84" hidden="1" customWidth="1"/>
    <col min="10" max="10" width="15.7109375" style="585" hidden="1" customWidth="1"/>
    <col min="11" max="11" width="16.42578125" style="84" customWidth="1"/>
    <col min="12" max="13" width="14.85546875" style="84" customWidth="1"/>
    <col min="14" max="14" width="13.140625" style="206" customWidth="1"/>
    <col min="15" max="15" width="61" style="84" customWidth="1"/>
    <col min="16" max="16" width="15.42578125" style="84" customWidth="1"/>
    <col min="17" max="17" width="30.5703125" style="84" customWidth="1"/>
    <col min="18" max="18" width="6.28515625" style="206" hidden="1" customWidth="1"/>
    <col min="19" max="21" width="6.28515625" style="206" customWidth="1"/>
    <col min="22" max="22" width="29.42578125" style="84" customWidth="1"/>
    <col min="23" max="23" width="27" style="84" hidden="1" customWidth="1"/>
    <col min="24" max="24" width="9.140625" style="84" hidden="1" customWidth="1"/>
    <col min="25" max="26" width="8.85546875" hidden="1" customWidth="1"/>
    <col min="27" max="16384" width="9.140625" style="84"/>
  </cols>
  <sheetData>
    <row r="1" spans="1:26" ht="21.75" customHeight="1">
      <c r="A1" s="2804" t="s">
        <v>4154</v>
      </c>
      <c r="B1" s="2804"/>
      <c r="C1" s="2804"/>
      <c r="D1" s="2804"/>
      <c r="E1" s="2804"/>
      <c r="F1" s="2804"/>
      <c r="G1" s="2804"/>
      <c r="H1" s="2804"/>
      <c r="I1" s="2804"/>
      <c r="J1" s="2804"/>
      <c r="K1" s="2804"/>
      <c r="L1" s="2804"/>
      <c r="M1" s="2804"/>
      <c r="N1" s="2804"/>
      <c r="O1" s="2804"/>
      <c r="P1" s="2804"/>
      <c r="Q1" s="2804"/>
      <c r="R1" s="2804"/>
      <c r="S1" s="2804"/>
      <c r="T1" s="2804"/>
      <c r="U1" s="2804"/>
      <c r="V1" s="2804"/>
      <c r="Y1" s="84"/>
      <c r="Z1" s="84"/>
    </row>
    <row r="2" spans="1:26" ht="30" customHeight="1">
      <c r="A2" s="2781" t="s">
        <v>2770</v>
      </c>
      <c r="B2" s="2781"/>
      <c r="C2" s="2781"/>
      <c r="D2" s="2781"/>
      <c r="E2" s="2781"/>
      <c r="F2" s="2781"/>
      <c r="G2" s="2781"/>
      <c r="H2" s="2781"/>
      <c r="I2" s="2781"/>
      <c r="J2" s="2781"/>
      <c r="K2" s="2781"/>
      <c r="L2" s="2781"/>
      <c r="M2" s="2781"/>
      <c r="N2" s="2781"/>
      <c r="O2" s="2781"/>
      <c r="P2" s="2781"/>
      <c r="Q2" s="2781"/>
      <c r="R2" s="2781"/>
      <c r="S2" s="2781"/>
      <c r="T2" s="2781"/>
      <c r="U2" s="2781"/>
      <c r="V2" s="2781"/>
      <c r="Y2" s="84"/>
      <c r="Z2" s="84"/>
    </row>
    <row r="3" spans="1:26" ht="16.5" customHeight="1">
      <c r="A3" s="157"/>
      <c r="B3" s="157"/>
      <c r="C3" s="157"/>
      <c r="D3" s="157"/>
      <c r="E3" s="157"/>
      <c r="F3" s="157"/>
      <c r="G3" s="157"/>
      <c r="H3" s="157"/>
      <c r="I3" s="157"/>
      <c r="J3" s="581"/>
      <c r="K3" s="157"/>
      <c r="L3" s="157"/>
      <c r="M3" s="157"/>
      <c r="N3" s="157"/>
      <c r="O3" s="83"/>
      <c r="P3" s="87"/>
      <c r="Q3" s="87"/>
      <c r="R3" s="157"/>
      <c r="S3" s="157"/>
      <c r="T3" s="157"/>
      <c r="U3" s="157"/>
      <c r="V3" s="126"/>
      <c r="Y3" s="84"/>
      <c r="Z3" s="84"/>
    </row>
    <row r="4" spans="1:26" s="89" customFormat="1" ht="10.5" customHeight="1">
      <c r="A4" s="89" t="str">
        <f>A15</f>
        <v>06.01.01 (T)</v>
      </c>
      <c r="B4" s="89" t="str">
        <f>B15</f>
        <v>Užtikrinti efektyvią savivaldybės biudžetinių socialinių paslaugų įstaigų veiklą</v>
      </c>
      <c r="C4" s="156"/>
      <c r="D4" s="156"/>
      <c r="E4" s="156"/>
      <c r="F4" s="156"/>
      <c r="G4" s="156"/>
      <c r="H4" s="87"/>
      <c r="I4" s="87"/>
      <c r="J4" s="582"/>
      <c r="K4" s="87"/>
      <c r="L4" s="87"/>
      <c r="M4" s="87"/>
      <c r="N4" s="125"/>
      <c r="O4" s="87"/>
      <c r="P4" s="87"/>
      <c r="Q4" s="87"/>
      <c r="R4" s="125"/>
      <c r="S4" s="125"/>
      <c r="T4" s="125"/>
      <c r="U4" s="125"/>
      <c r="V4" s="87"/>
    </row>
    <row r="5" spans="1:26" s="89" customFormat="1" ht="12" customHeight="1">
      <c r="A5" s="89" t="str">
        <f>A34</f>
        <v>06.01.02. (T)</v>
      </c>
      <c r="B5" s="89" t="str">
        <f>B34</f>
        <v>Užtikrinti socialinių išmokų ir kompensacijų mokėjimą</v>
      </c>
      <c r="C5" s="156"/>
      <c r="D5" s="156"/>
      <c r="E5" s="156"/>
      <c r="F5" s="156"/>
      <c r="G5" s="156"/>
      <c r="H5" s="87"/>
      <c r="I5" s="87"/>
      <c r="J5" s="582"/>
      <c r="K5" s="87"/>
      <c r="L5" s="87"/>
      <c r="M5" s="87"/>
      <c r="N5" s="125"/>
      <c r="O5" s="87"/>
      <c r="P5" s="87"/>
      <c r="Q5" s="87"/>
      <c r="R5" s="125"/>
      <c r="S5" s="125"/>
      <c r="T5" s="125"/>
      <c r="U5" s="125"/>
      <c r="V5" s="87"/>
    </row>
    <row r="6" spans="1:26" s="89" customFormat="1" ht="14.25" customHeight="1">
      <c r="A6" s="89" t="str">
        <f>A95</f>
        <v>06.01.03. (T)</v>
      </c>
      <c r="B6" s="89" t="str">
        <f>B95</f>
        <v>Pagerinti  ir plėsti socialinių paslaugų kokybę ir prieinamumą, sukurti jų plėtrai reikalingą  infrastruktūrą</v>
      </c>
      <c r="C6" s="156"/>
      <c r="D6" s="156"/>
      <c r="E6" s="156"/>
      <c r="F6" s="156"/>
      <c r="G6" s="156"/>
      <c r="H6" s="87"/>
      <c r="I6" s="87"/>
      <c r="J6" s="582"/>
      <c r="K6" s="87"/>
      <c r="L6" s="87"/>
      <c r="M6" s="87"/>
      <c r="N6" s="125"/>
      <c r="O6" s="87"/>
      <c r="P6" s="87"/>
      <c r="Q6" s="87"/>
      <c r="R6" s="125"/>
      <c r="S6" s="125"/>
      <c r="T6" s="125"/>
      <c r="U6" s="125"/>
      <c r="V6" s="87"/>
    </row>
    <row r="7" spans="1:26" s="89" customFormat="1" ht="12.75" customHeight="1">
      <c r="A7" s="89" t="str">
        <f>A156</f>
        <v>06.02.01. (T)</v>
      </c>
      <c r="B7" s="89" t="str">
        <f>B156</f>
        <v>Skatinti socialinių paslaugų plėtrą bendruomenėje</v>
      </c>
      <c r="C7" s="156"/>
      <c r="D7" s="156"/>
      <c r="E7" s="156"/>
      <c r="F7" s="156"/>
      <c r="G7" s="156"/>
      <c r="H7" s="87"/>
      <c r="I7" s="87"/>
      <c r="J7" s="582"/>
      <c r="K7" s="87"/>
      <c r="L7" s="87"/>
      <c r="M7" s="87"/>
      <c r="N7" s="125"/>
      <c r="O7" s="87"/>
      <c r="P7" s="87"/>
      <c r="Q7" s="87"/>
      <c r="R7" s="125"/>
      <c r="S7" s="125"/>
      <c r="T7" s="125"/>
      <c r="U7" s="125"/>
      <c r="V7" s="87"/>
    </row>
    <row r="8" spans="1:26" s="89" customFormat="1" ht="23.25" customHeight="1">
      <c r="A8" s="87"/>
      <c r="B8" s="87"/>
      <c r="C8" s="87"/>
      <c r="D8" s="87"/>
      <c r="E8" s="87"/>
      <c r="F8" s="87"/>
      <c r="G8" s="87"/>
      <c r="H8" s="87"/>
      <c r="I8" s="87"/>
      <c r="J8" s="582"/>
      <c r="K8" s="87"/>
      <c r="L8" s="87"/>
      <c r="M8" s="87"/>
      <c r="N8" s="125"/>
      <c r="O8" s="87"/>
      <c r="P8" s="87"/>
      <c r="Q8" s="87"/>
      <c r="R8" s="125"/>
      <c r="S8" s="125"/>
      <c r="T8" s="125"/>
      <c r="U8" s="125"/>
      <c r="V8" s="87"/>
    </row>
    <row r="9" spans="1:26" ht="15" customHeight="1">
      <c r="A9" s="2781" t="s">
        <v>3098</v>
      </c>
      <c r="B9" s="2781"/>
      <c r="C9" s="2781"/>
      <c r="D9" s="2781"/>
      <c r="E9" s="2781"/>
      <c r="F9" s="112"/>
      <c r="G9" s="112"/>
      <c r="H9" s="112"/>
      <c r="I9" s="112"/>
      <c r="J9" s="604"/>
      <c r="K9" s="98"/>
      <c r="L9" s="98"/>
      <c r="M9" s="83"/>
      <c r="N9" s="1484"/>
      <c r="O9" s="83"/>
      <c r="P9" s="87"/>
      <c r="Q9" s="87"/>
      <c r="R9" s="157"/>
      <c r="S9" s="157"/>
      <c r="T9" s="157"/>
      <c r="U9" s="157"/>
      <c r="V9" s="126"/>
      <c r="Y9" s="84"/>
      <c r="Z9" s="84"/>
    </row>
    <row r="10" spans="1:26" ht="19.5" customHeight="1">
      <c r="A10" s="2781" t="s">
        <v>4241</v>
      </c>
      <c r="B10" s="2781"/>
      <c r="C10" s="2781"/>
      <c r="D10" s="2781"/>
      <c r="E10" s="2781"/>
      <c r="F10" s="2781"/>
      <c r="G10" s="2781"/>
      <c r="H10" s="2781"/>
      <c r="I10" s="2781"/>
      <c r="J10" s="2781"/>
      <c r="K10" s="2781"/>
      <c r="L10" s="2781"/>
      <c r="M10" s="443"/>
      <c r="N10" s="1484"/>
      <c r="O10" s="83"/>
      <c r="P10" s="87"/>
      <c r="Q10" s="87"/>
      <c r="R10" s="157"/>
      <c r="S10" s="157"/>
      <c r="T10" s="157"/>
      <c r="U10" s="157"/>
      <c r="V10" s="126"/>
      <c r="Y10" s="84"/>
      <c r="Z10" s="84"/>
    </row>
    <row r="11" spans="1:26" s="89" customFormat="1" ht="16.5" customHeight="1">
      <c r="A11" s="122"/>
      <c r="B11" s="87"/>
      <c r="C11" s="87"/>
      <c r="D11" s="87"/>
      <c r="E11" s="87"/>
      <c r="F11" s="115"/>
      <c r="G11" s="87"/>
      <c r="H11" s="87"/>
      <c r="I11" s="87"/>
      <c r="J11" s="582"/>
      <c r="K11" s="87"/>
      <c r="L11" s="87"/>
      <c r="M11" s="87"/>
      <c r="N11" s="125"/>
      <c r="O11" s="87"/>
      <c r="P11" s="87"/>
      <c r="Q11" s="87"/>
      <c r="R11" s="125"/>
      <c r="S11" s="125"/>
      <c r="T11" s="125"/>
      <c r="U11" s="125"/>
      <c r="V11" s="87"/>
    </row>
    <row r="12" spans="1:26" ht="15.75" customHeight="1">
      <c r="A12" s="2827" t="s">
        <v>4185</v>
      </c>
      <c r="B12" s="2827"/>
      <c r="C12" s="2827"/>
      <c r="D12" s="2827"/>
      <c r="E12" s="2827"/>
      <c r="F12" s="2827"/>
      <c r="G12" s="2827"/>
      <c r="H12" s="2827"/>
      <c r="I12" s="2827"/>
      <c r="J12" s="2827"/>
      <c r="K12" s="2827"/>
      <c r="L12" s="2827"/>
      <c r="M12" s="2827"/>
      <c r="N12" s="2827"/>
      <c r="O12" s="2827"/>
      <c r="P12" s="2827"/>
      <c r="Q12" s="2827"/>
      <c r="R12" s="2827"/>
      <c r="S12" s="2827"/>
      <c r="T12" s="2827"/>
      <c r="U12" s="2827"/>
      <c r="V12" s="2827"/>
      <c r="Y12" s="84"/>
      <c r="Z12" s="84"/>
    </row>
    <row r="13" spans="1:26" s="206" customFormat="1" ht="48" customHeight="1">
      <c r="A13" s="2489" t="s">
        <v>730</v>
      </c>
      <c r="B13" s="2489" t="s">
        <v>2013</v>
      </c>
      <c r="C13" s="2826" t="s">
        <v>1072</v>
      </c>
      <c r="D13" s="2826" t="s">
        <v>1073</v>
      </c>
      <c r="E13" s="2908" t="s">
        <v>1091</v>
      </c>
      <c r="F13" s="2908" t="s">
        <v>1186</v>
      </c>
      <c r="G13" s="2909" t="s">
        <v>1088</v>
      </c>
      <c r="H13" s="2489" t="s">
        <v>2030</v>
      </c>
      <c r="I13" s="2445" t="s">
        <v>3099</v>
      </c>
      <c r="J13" s="2942" t="s">
        <v>3100</v>
      </c>
      <c r="K13" s="2489" t="s">
        <v>2029</v>
      </c>
      <c r="L13" s="2489" t="s">
        <v>2031</v>
      </c>
      <c r="M13" s="2359" t="s">
        <v>3097</v>
      </c>
      <c r="N13" s="2489" t="s">
        <v>2778</v>
      </c>
      <c r="O13" s="2489" t="s">
        <v>2922</v>
      </c>
      <c r="P13" s="2536" t="s">
        <v>731</v>
      </c>
      <c r="Q13" s="2536" t="s">
        <v>1093</v>
      </c>
      <c r="R13" s="2351" t="s">
        <v>732</v>
      </c>
      <c r="S13" s="2352"/>
      <c r="T13" s="2352"/>
      <c r="U13" s="2353"/>
      <c r="V13" s="2536" t="s">
        <v>733</v>
      </c>
    </row>
    <row r="14" spans="1:26" s="206" customFormat="1" ht="35.25" customHeight="1">
      <c r="A14" s="2489"/>
      <c r="B14" s="2489"/>
      <c r="C14" s="2826"/>
      <c r="D14" s="2826"/>
      <c r="E14" s="2908"/>
      <c r="F14" s="2908"/>
      <c r="G14" s="2909"/>
      <c r="H14" s="2489"/>
      <c r="I14" s="2446"/>
      <c r="J14" s="2943"/>
      <c r="K14" s="2489"/>
      <c r="L14" s="2489"/>
      <c r="M14" s="2360"/>
      <c r="N14" s="2489"/>
      <c r="O14" s="2489"/>
      <c r="P14" s="2536"/>
      <c r="Q14" s="2536"/>
      <c r="R14" s="209">
        <v>2024</v>
      </c>
      <c r="S14" s="209">
        <v>2025</v>
      </c>
      <c r="T14" s="209">
        <v>2026</v>
      </c>
      <c r="U14" s="455">
        <v>2027</v>
      </c>
      <c r="V14" s="2536"/>
    </row>
    <row r="15" spans="1:26" ht="56.25" customHeight="1">
      <c r="A15" s="954" t="s">
        <v>2110</v>
      </c>
      <c r="B15" s="954" t="s">
        <v>1221</v>
      </c>
      <c r="C15" s="954"/>
      <c r="D15" s="954"/>
      <c r="E15" s="1507">
        <f>SUM(E21,)</f>
        <v>1555.0619999999999</v>
      </c>
      <c r="F15" s="1508">
        <f>H15/E15-1</f>
        <v>-3.6190839979370448E-2</v>
      </c>
      <c r="G15" s="1507">
        <f>SUM(G21,)</f>
        <v>1736.1569999999999</v>
      </c>
      <c r="H15" s="1006">
        <f>SUM(H21,)</f>
        <v>1498.7830000000001</v>
      </c>
      <c r="I15" s="1048">
        <f>K15/H15-1</f>
        <v>8.045260721532066E-2</v>
      </c>
      <c r="J15" s="1507">
        <f>SUM(J21,)</f>
        <v>0</v>
      </c>
      <c r="K15" s="1006">
        <f>SUM(K21,)</f>
        <v>1619.364</v>
      </c>
      <c r="L15" s="1006">
        <f>SUM(L21,)</f>
        <v>1662.144</v>
      </c>
      <c r="M15" s="1006">
        <f>SUM(M21,)</f>
        <v>1751.7939999999999</v>
      </c>
      <c r="N15" s="177" t="s">
        <v>2345</v>
      </c>
      <c r="O15" s="1509"/>
      <c r="P15" s="970" t="s">
        <v>1488</v>
      </c>
      <c r="Q15" s="970" t="s">
        <v>943</v>
      </c>
      <c r="R15" s="970" t="s">
        <v>1366</v>
      </c>
      <c r="S15" s="970" t="s">
        <v>3706</v>
      </c>
      <c r="T15" s="970" t="s">
        <v>3706</v>
      </c>
      <c r="U15" s="970" t="s">
        <v>3706</v>
      </c>
      <c r="V15" s="970" t="s">
        <v>943</v>
      </c>
      <c r="Y15" s="84"/>
      <c r="Z15" s="84"/>
    </row>
    <row r="16" spans="1:26" ht="33.75" customHeight="1">
      <c r="A16" s="2747" t="s">
        <v>2109</v>
      </c>
      <c r="B16" s="2756" t="s">
        <v>1222</v>
      </c>
      <c r="C16" s="2754" t="s">
        <v>1080</v>
      </c>
      <c r="D16" s="1360" t="s">
        <v>471</v>
      </c>
      <c r="E16" s="1510">
        <f>SUM(E22,E28)</f>
        <v>1101.68</v>
      </c>
      <c r="F16" s="1511">
        <f>H16/E16-1</f>
        <v>-4.6637862174134126E-2</v>
      </c>
      <c r="G16" s="1510">
        <f t="shared" ref="G16" si="0">SUM(G22,G28)</f>
        <v>1344.4929999999999</v>
      </c>
      <c r="H16" s="1100">
        <f>SUM(H22,H28,H33)</f>
        <v>1050.3</v>
      </c>
      <c r="I16" s="1512">
        <f>K16/H16-1</f>
        <v>4.68532800152337E-2</v>
      </c>
      <c r="J16" s="1510"/>
      <c r="K16" s="1100">
        <f>SUM(K22,K28,K33)</f>
        <v>1099.51</v>
      </c>
      <c r="L16" s="1100">
        <f t="shared" ref="L16" si="1">SUM(L22,L28,L33)</f>
        <v>1103.5899999999999</v>
      </c>
      <c r="M16" s="1100">
        <f>SUM(M22,M28,M33)</f>
        <v>1153.1399999999999</v>
      </c>
      <c r="N16" s="2402" t="s">
        <v>946</v>
      </c>
      <c r="O16" s="2349" t="s">
        <v>4043</v>
      </c>
      <c r="P16" s="2343" t="s">
        <v>1489</v>
      </c>
      <c r="Q16" s="2342" t="s">
        <v>1809</v>
      </c>
      <c r="R16" s="2342" t="s">
        <v>1402</v>
      </c>
      <c r="S16" s="2342" t="s">
        <v>1808</v>
      </c>
      <c r="T16" s="2342" t="s">
        <v>2923</v>
      </c>
      <c r="U16" s="2342" t="s">
        <v>2923</v>
      </c>
      <c r="V16" s="2343" t="s">
        <v>1809</v>
      </c>
      <c r="Y16" s="84"/>
      <c r="Z16" s="84"/>
    </row>
    <row r="17" spans="1:26" ht="30.75" customHeight="1">
      <c r="A17" s="2745"/>
      <c r="B17" s="2757"/>
      <c r="C17" s="2755"/>
      <c r="D17" s="1050" t="s">
        <v>1389</v>
      </c>
      <c r="E17" s="1510">
        <f>SUM(E23,E29)</f>
        <v>371.255</v>
      </c>
      <c r="F17" s="1511">
        <f t="shared" ref="F17:F19" si="2">H17/E17-1</f>
        <v>5.6362877267646327E-2</v>
      </c>
      <c r="G17" s="1510">
        <f>SUM(G23,G29)</f>
        <v>373.464</v>
      </c>
      <c r="H17" s="1100">
        <f>SUM(H23,H29)</f>
        <v>392.18</v>
      </c>
      <c r="I17" s="1512">
        <f t="shared" ref="I17:I21" si="3">K17/H17-1</f>
        <v>0.13162323422918054</v>
      </c>
      <c r="J17" s="1510"/>
      <c r="K17" s="1100">
        <f>SUM(K23,K29)</f>
        <v>443.8</v>
      </c>
      <c r="L17" s="1100">
        <f t="shared" ref="L17:M17" si="4">SUM(L23,L29)</f>
        <v>482.5</v>
      </c>
      <c r="M17" s="1100">
        <f t="shared" si="4"/>
        <v>522.6</v>
      </c>
      <c r="N17" s="2863"/>
      <c r="O17" s="2363"/>
      <c r="P17" s="2345"/>
      <c r="Q17" s="2342"/>
      <c r="R17" s="2342"/>
      <c r="S17" s="2342"/>
      <c r="T17" s="2342"/>
      <c r="U17" s="2342"/>
      <c r="V17" s="2345"/>
      <c r="Y17" s="84"/>
      <c r="Z17" s="84"/>
    </row>
    <row r="18" spans="1:26" ht="27.75" customHeight="1">
      <c r="A18" s="2745"/>
      <c r="B18" s="2757"/>
      <c r="C18" s="2755"/>
      <c r="D18" s="1050" t="s">
        <v>3026</v>
      </c>
      <c r="E18" s="1510"/>
      <c r="F18" s="1511"/>
      <c r="G18" s="1510"/>
      <c r="H18" s="1100">
        <f>H24</f>
        <v>0.30299999999999999</v>
      </c>
      <c r="I18" s="1512">
        <f t="shared" si="3"/>
        <v>-1</v>
      </c>
      <c r="J18" s="1510"/>
      <c r="K18" s="1100"/>
      <c r="L18" s="1100"/>
      <c r="M18" s="1053"/>
      <c r="N18" s="2863"/>
      <c r="O18" s="2363"/>
      <c r="P18" s="2345"/>
      <c r="Q18" s="2342"/>
      <c r="R18" s="2342"/>
      <c r="S18" s="2342"/>
      <c r="T18" s="2342"/>
      <c r="U18" s="2342"/>
      <c r="V18" s="2345"/>
      <c r="Y18" s="84"/>
      <c r="Z18" s="84"/>
    </row>
    <row r="19" spans="1:26" ht="53.25" customHeight="1">
      <c r="A19" s="2745"/>
      <c r="B19" s="2757"/>
      <c r="C19" s="2755"/>
      <c r="D19" s="1050" t="s">
        <v>1122</v>
      </c>
      <c r="E19" s="1510">
        <f>SUM(E25,E30)</f>
        <v>82.12700000000001</v>
      </c>
      <c r="F19" s="1511">
        <f t="shared" si="2"/>
        <v>-0.31812923886176292</v>
      </c>
      <c r="G19" s="1510">
        <f t="shared" ref="G19:M20" si="5">SUM(G25,G30)</f>
        <v>0</v>
      </c>
      <c r="H19" s="1100">
        <f t="shared" si="5"/>
        <v>56</v>
      </c>
      <c r="I19" s="1512">
        <f t="shared" si="3"/>
        <v>0.35810714285714296</v>
      </c>
      <c r="J19" s="1510"/>
      <c r="K19" s="1100">
        <f>SUM(K25,K30)</f>
        <v>76.054000000000002</v>
      </c>
      <c r="L19" s="1100">
        <f t="shared" si="5"/>
        <v>76.054000000000002</v>
      </c>
      <c r="M19" s="1100">
        <f t="shared" si="5"/>
        <v>76.054000000000002</v>
      </c>
      <c r="N19" s="2863"/>
      <c r="O19" s="2363"/>
      <c r="P19" s="2345"/>
      <c r="Q19" s="947" t="s">
        <v>4044</v>
      </c>
      <c r="R19" s="2342"/>
      <c r="S19" s="947" t="s">
        <v>4</v>
      </c>
      <c r="T19" s="947" t="s">
        <v>4</v>
      </c>
      <c r="U19" s="947" t="s">
        <v>4</v>
      </c>
      <c r="V19" s="2345"/>
      <c r="Y19" s="84"/>
      <c r="Z19" s="84"/>
    </row>
    <row r="20" spans="1:26" ht="35.25" customHeight="1">
      <c r="A20" s="2745"/>
      <c r="B20" s="2757"/>
      <c r="C20" s="2755"/>
      <c r="D20" s="1050" t="s">
        <v>1388</v>
      </c>
      <c r="E20" s="1510">
        <f>SUM(E26,E31)</f>
        <v>0</v>
      </c>
      <c r="F20" s="1511"/>
      <c r="G20" s="1510">
        <f t="shared" si="5"/>
        <v>18.2</v>
      </c>
      <c r="H20" s="1100">
        <f t="shared" si="5"/>
        <v>0</v>
      </c>
      <c r="I20" s="1512"/>
      <c r="J20" s="1510"/>
      <c r="K20" s="1100">
        <f t="shared" si="5"/>
        <v>0</v>
      </c>
      <c r="L20" s="1100">
        <f t="shared" si="5"/>
        <v>0</v>
      </c>
      <c r="M20" s="1100">
        <f t="shared" si="5"/>
        <v>0</v>
      </c>
      <c r="N20" s="2863"/>
      <c r="O20" s="2363"/>
      <c r="P20" s="2345"/>
      <c r="Q20" s="947" t="s">
        <v>4045</v>
      </c>
      <c r="R20" s="2342"/>
      <c r="S20" s="947" t="s">
        <v>4046</v>
      </c>
      <c r="T20" s="947" t="s">
        <v>4047</v>
      </c>
      <c r="U20" s="947" t="s">
        <v>1816</v>
      </c>
      <c r="V20" s="2345"/>
      <c r="Y20" s="84"/>
      <c r="Z20" s="84"/>
    </row>
    <row r="21" spans="1:26" ht="91.9" customHeight="1">
      <c r="A21" s="2745"/>
      <c r="B21" s="2757"/>
      <c r="C21" s="2755"/>
      <c r="D21" s="1056" t="s">
        <v>1076</v>
      </c>
      <c r="E21" s="1513">
        <f>SUM(E16:E20)</f>
        <v>1555.0619999999999</v>
      </c>
      <c r="F21" s="1514">
        <f>H21/E21-1</f>
        <v>-3.6190839979370448E-2</v>
      </c>
      <c r="G21" s="1513">
        <f t="shared" ref="G21:M21" si="6">SUM(G16:G20)</f>
        <v>1736.1569999999999</v>
      </c>
      <c r="H21" s="1059">
        <f t="shared" si="6"/>
        <v>1498.7830000000001</v>
      </c>
      <c r="I21" s="1202">
        <f t="shared" si="3"/>
        <v>8.045260721532066E-2</v>
      </c>
      <c r="J21" s="1513"/>
      <c r="K21" s="1059">
        <f t="shared" si="6"/>
        <v>1619.364</v>
      </c>
      <c r="L21" s="1059">
        <f t="shared" si="6"/>
        <v>1662.144</v>
      </c>
      <c r="M21" s="1059">
        <f t="shared" si="6"/>
        <v>1751.7939999999999</v>
      </c>
      <c r="N21" s="2863"/>
      <c r="O21" s="2363"/>
      <c r="P21" s="2345"/>
      <c r="Q21" s="947" t="s">
        <v>4048</v>
      </c>
      <c r="R21" s="2342"/>
      <c r="S21" s="947" t="s">
        <v>1409</v>
      </c>
      <c r="T21" s="947" t="s">
        <v>1409</v>
      </c>
      <c r="U21" s="947" t="s">
        <v>1409</v>
      </c>
      <c r="V21" s="2345"/>
      <c r="Y21" s="84"/>
      <c r="Z21" s="84"/>
    </row>
    <row r="22" spans="1:26" ht="20.100000000000001" hidden="1" customHeight="1">
      <c r="A22" s="2787"/>
      <c r="B22" s="2744" t="s">
        <v>1223</v>
      </c>
      <c r="C22" s="2785" t="s">
        <v>1435</v>
      </c>
      <c r="D22" s="1400" t="s">
        <v>471</v>
      </c>
      <c r="E22" s="1066">
        <v>550.19000000000005</v>
      </c>
      <c r="F22" s="1451">
        <f t="shared" ref="F22:F32" si="7">H22/E22-1</f>
        <v>-0.22474781439139213</v>
      </c>
      <c r="G22" s="1066">
        <v>745.46799999999996</v>
      </c>
      <c r="H22" s="985">
        <f>435.41-8.524-0.35</f>
        <v>426.536</v>
      </c>
      <c r="I22" s="985"/>
      <c r="J22" s="1515">
        <v>448.02</v>
      </c>
      <c r="K22" s="1516">
        <v>448.02</v>
      </c>
      <c r="L22" s="1066">
        <v>450.93</v>
      </c>
      <c r="M22" s="985">
        <v>470.15</v>
      </c>
      <c r="N22" s="2812"/>
      <c r="O22" s="2813"/>
      <c r="P22" s="2813"/>
      <c r="Q22" s="2813"/>
      <c r="R22" s="2813"/>
      <c r="S22" s="2813"/>
      <c r="T22" s="2813"/>
      <c r="U22" s="2814"/>
      <c r="V22" s="2913"/>
      <c r="Y22" s="84"/>
      <c r="Z22" s="84"/>
    </row>
    <row r="23" spans="1:26" ht="20.100000000000001" hidden="1" customHeight="1">
      <c r="A23" s="2788"/>
      <c r="B23" s="2784"/>
      <c r="C23" s="2786"/>
      <c r="D23" s="1417" t="s">
        <v>1389</v>
      </c>
      <c r="E23" s="1068">
        <v>349.9</v>
      </c>
      <c r="F23" s="1451">
        <f t="shared" si="7"/>
        <v>4.6527579308373923E-2</v>
      </c>
      <c r="G23" s="1068">
        <v>349.36399999999998</v>
      </c>
      <c r="H23" s="989">
        <f>366.18</f>
        <v>366.18</v>
      </c>
      <c r="I23" s="989"/>
      <c r="J23" s="1518">
        <v>431.33</v>
      </c>
      <c r="K23" s="989">
        <f>413.8</f>
        <v>413.8</v>
      </c>
      <c r="L23" s="1123">
        <f>448.9+0.5</f>
        <v>449.4</v>
      </c>
      <c r="M23" s="1123">
        <v>486.5</v>
      </c>
      <c r="N23" s="2815"/>
      <c r="O23" s="2816"/>
      <c r="P23" s="2816"/>
      <c r="Q23" s="2816"/>
      <c r="R23" s="2816"/>
      <c r="S23" s="2816"/>
      <c r="T23" s="2816"/>
      <c r="U23" s="2817"/>
      <c r="V23" s="2914"/>
      <c r="Y23" s="84"/>
      <c r="Z23" s="84"/>
    </row>
    <row r="24" spans="1:26" ht="20.100000000000001" hidden="1" customHeight="1">
      <c r="A24" s="2788"/>
      <c r="B24" s="2784"/>
      <c r="C24" s="2786"/>
      <c r="D24" s="1519" t="s">
        <v>2931</v>
      </c>
      <c r="E24" s="1068"/>
      <c r="F24" s="1451"/>
      <c r="G24" s="1068"/>
      <c r="H24" s="1068">
        <v>0.30299999999999999</v>
      </c>
      <c r="I24" s="1068"/>
      <c r="J24" s="1518"/>
      <c r="K24" s="989"/>
      <c r="L24" s="1123"/>
      <c r="M24" s="1123"/>
      <c r="N24" s="2815"/>
      <c r="O24" s="2816"/>
      <c r="P24" s="2816"/>
      <c r="Q24" s="2816"/>
      <c r="R24" s="2816"/>
      <c r="S24" s="2816"/>
      <c r="T24" s="2816"/>
      <c r="U24" s="2817"/>
      <c r="V24" s="2914"/>
      <c r="Y24" s="84"/>
      <c r="Z24" s="84"/>
    </row>
    <row r="25" spans="1:26" ht="20.100000000000001" hidden="1" customHeight="1">
      <c r="A25" s="2788"/>
      <c r="B25" s="2784"/>
      <c r="C25" s="2786"/>
      <c r="D25" s="1417" t="s">
        <v>1122</v>
      </c>
      <c r="E25" s="1068">
        <v>69.102000000000004</v>
      </c>
      <c r="F25" s="1451">
        <f t="shared" si="7"/>
        <v>-0.48939249225782178</v>
      </c>
      <c r="G25" s="1068">
        <v>0</v>
      </c>
      <c r="H25" s="989">
        <f>26.76+8.524</f>
        <v>35.283999999999999</v>
      </c>
      <c r="I25" s="989"/>
      <c r="J25" s="1518"/>
      <c r="K25" s="989">
        <v>40.113999999999997</v>
      </c>
      <c r="L25" s="989">
        <v>40.113999999999997</v>
      </c>
      <c r="M25" s="989">
        <v>40.113999999999997</v>
      </c>
      <c r="N25" s="2815"/>
      <c r="O25" s="2816"/>
      <c r="P25" s="2816"/>
      <c r="Q25" s="2816"/>
      <c r="R25" s="2816"/>
      <c r="S25" s="2816"/>
      <c r="T25" s="2816"/>
      <c r="U25" s="2817"/>
      <c r="V25" s="2914"/>
      <c r="Y25" s="84"/>
      <c r="Z25" s="84"/>
    </row>
    <row r="26" spans="1:26" ht="20.100000000000001" hidden="1" customHeight="1">
      <c r="A26" s="2788"/>
      <c r="B26" s="2784"/>
      <c r="C26" s="2786"/>
      <c r="D26" s="1417" t="s">
        <v>1388</v>
      </c>
      <c r="E26" s="1068"/>
      <c r="F26" s="1451"/>
      <c r="G26" s="1068">
        <v>18.2</v>
      </c>
      <c r="H26" s="989">
        <v>0</v>
      </c>
      <c r="I26" s="989"/>
      <c r="J26" s="1518"/>
      <c r="K26" s="989">
        <v>0</v>
      </c>
      <c r="L26" s="1123">
        <v>0</v>
      </c>
      <c r="M26" s="1123"/>
      <c r="N26" s="2815"/>
      <c r="O26" s="2816"/>
      <c r="P26" s="2816"/>
      <c r="Q26" s="2816"/>
      <c r="R26" s="2816"/>
      <c r="S26" s="2816"/>
      <c r="T26" s="2816"/>
      <c r="U26" s="2817"/>
      <c r="V26" s="2914"/>
      <c r="Y26" s="84"/>
      <c r="Z26" s="84"/>
    </row>
    <row r="27" spans="1:26" ht="20.100000000000001" hidden="1" customHeight="1">
      <c r="A27" s="2788"/>
      <c r="B27" s="2784"/>
      <c r="C27" s="2786"/>
      <c r="D27" s="1520" t="s">
        <v>2777</v>
      </c>
      <c r="E27" s="1406">
        <f>SUM(E22:E26)</f>
        <v>969.19200000000001</v>
      </c>
      <c r="F27" s="1521">
        <f t="shared" si="7"/>
        <v>-0.14536748136592126</v>
      </c>
      <c r="G27" s="1406">
        <f t="shared" ref="G27:L27" si="8">SUM(G22:G26)</f>
        <v>1113.0319999999999</v>
      </c>
      <c r="H27" s="1405">
        <f t="shared" si="8"/>
        <v>828.303</v>
      </c>
      <c r="I27" s="1405"/>
      <c r="J27" s="1522"/>
      <c r="K27" s="1405">
        <f t="shared" si="8"/>
        <v>901.93399999999997</v>
      </c>
      <c r="L27" s="1405">
        <f t="shared" si="8"/>
        <v>940.44399999999996</v>
      </c>
      <c r="M27" s="1405"/>
      <c r="N27" s="2815"/>
      <c r="O27" s="2816"/>
      <c r="P27" s="2816"/>
      <c r="Q27" s="2816"/>
      <c r="R27" s="2816"/>
      <c r="S27" s="2816"/>
      <c r="T27" s="2816"/>
      <c r="U27" s="2817"/>
      <c r="V27" s="2915"/>
      <c r="Y27" s="84"/>
      <c r="Z27" s="84"/>
    </row>
    <row r="28" spans="1:26" ht="20.100000000000001" hidden="1" customHeight="1">
      <c r="A28" s="2787"/>
      <c r="B28" s="2744" t="s">
        <v>1224</v>
      </c>
      <c r="C28" s="2785" t="s">
        <v>1436</v>
      </c>
      <c r="D28" s="1400" t="s">
        <v>471</v>
      </c>
      <c r="E28" s="1066">
        <v>551.49</v>
      </c>
      <c r="F28" s="1451">
        <f t="shared" si="7"/>
        <v>7.8467424613320347E-2</v>
      </c>
      <c r="G28" s="1066">
        <v>599.02499999999998</v>
      </c>
      <c r="H28" s="985">
        <f>604.24-9.476</f>
        <v>594.76400000000001</v>
      </c>
      <c r="I28" s="985"/>
      <c r="J28" s="1515">
        <v>622.49</v>
      </c>
      <c r="K28" s="985">
        <v>622.49</v>
      </c>
      <c r="L28" s="1066">
        <v>623.66</v>
      </c>
      <c r="M28" s="985">
        <v>653.99</v>
      </c>
      <c r="N28" s="2815"/>
      <c r="O28" s="2816"/>
      <c r="P28" s="2816"/>
      <c r="Q28" s="2816"/>
      <c r="R28" s="2816"/>
      <c r="S28" s="2816"/>
      <c r="T28" s="2816"/>
      <c r="U28" s="2817"/>
      <c r="V28" s="2913"/>
      <c r="Y28" s="84"/>
      <c r="Z28" s="84"/>
    </row>
    <row r="29" spans="1:26" ht="20.100000000000001" hidden="1" customHeight="1">
      <c r="A29" s="2787"/>
      <c r="B29" s="2744"/>
      <c r="C29" s="2785"/>
      <c r="D29" s="1417" t="s">
        <v>1389</v>
      </c>
      <c r="E29" s="1066">
        <v>21.355</v>
      </c>
      <c r="F29" s="1451">
        <f t="shared" si="7"/>
        <v>0.217513462889253</v>
      </c>
      <c r="G29" s="1066">
        <v>24.1</v>
      </c>
      <c r="H29" s="989">
        <v>26</v>
      </c>
      <c r="I29" s="989"/>
      <c r="J29" s="1518">
        <v>30</v>
      </c>
      <c r="K29" s="989">
        <v>30</v>
      </c>
      <c r="L29" s="1122">
        <v>33.1</v>
      </c>
      <c r="M29" s="1122">
        <v>36.1</v>
      </c>
      <c r="N29" s="2815"/>
      <c r="O29" s="2816"/>
      <c r="P29" s="2816"/>
      <c r="Q29" s="2816"/>
      <c r="R29" s="2816"/>
      <c r="S29" s="2816"/>
      <c r="T29" s="2816"/>
      <c r="U29" s="2817"/>
      <c r="V29" s="2914"/>
      <c r="Y29" s="84"/>
      <c r="Z29" s="84"/>
    </row>
    <row r="30" spans="1:26" ht="20.100000000000001" hidden="1" customHeight="1">
      <c r="A30" s="2787"/>
      <c r="B30" s="2744"/>
      <c r="C30" s="2785"/>
      <c r="D30" s="1417" t="s">
        <v>1122</v>
      </c>
      <c r="E30" s="1066">
        <v>13.025</v>
      </c>
      <c r="F30" s="1451">
        <f t="shared" si="7"/>
        <v>0.59047984644913631</v>
      </c>
      <c r="G30" s="1066">
        <v>0</v>
      </c>
      <c r="H30" s="989">
        <f>11.24+9.476</f>
        <v>20.716000000000001</v>
      </c>
      <c r="I30" s="989"/>
      <c r="J30" s="1518"/>
      <c r="K30" s="989">
        <v>35.94</v>
      </c>
      <c r="L30" s="989">
        <v>35.94</v>
      </c>
      <c r="M30" s="989">
        <v>35.94</v>
      </c>
      <c r="N30" s="2815"/>
      <c r="O30" s="2816"/>
      <c r="P30" s="2816"/>
      <c r="Q30" s="2816"/>
      <c r="R30" s="2816"/>
      <c r="S30" s="2816"/>
      <c r="T30" s="2816"/>
      <c r="U30" s="2817"/>
      <c r="V30" s="2914"/>
      <c r="Y30" s="84"/>
      <c r="Z30" s="84"/>
    </row>
    <row r="31" spans="1:26" ht="20.100000000000001" hidden="1" customHeight="1">
      <c r="A31" s="2788"/>
      <c r="B31" s="2784"/>
      <c r="C31" s="2786"/>
      <c r="D31" s="1417" t="s">
        <v>1388</v>
      </c>
      <c r="E31" s="1120"/>
      <c r="F31" s="1432"/>
      <c r="G31" s="1068">
        <v>0</v>
      </c>
      <c r="H31" s="989">
        <v>0</v>
      </c>
      <c r="I31" s="989"/>
      <c r="J31" s="1518"/>
      <c r="K31" s="989">
        <v>0</v>
      </c>
      <c r="L31" s="1123">
        <v>0</v>
      </c>
      <c r="M31" s="1123"/>
      <c r="N31" s="2815"/>
      <c r="O31" s="2816"/>
      <c r="P31" s="2816"/>
      <c r="Q31" s="2816"/>
      <c r="R31" s="2816"/>
      <c r="S31" s="2816"/>
      <c r="T31" s="2816"/>
      <c r="U31" s="2817"/>
      <c r="V31" s="2914"/>
      <c r="Y31" s="84"/>
      <c r="Z31" s="84"/>
    </row>
    <row r="32" spans="1:26" ht="20.100000000000001" hidden="1" customHeight="1">
      <c r="A32" s="2788"/>
      <c r="B32" s="2784"/>
      <c r="C32" s="2786"/>
      <c r="D32" s="1520" t="s">
        <v>2777</v>
      </c>
      <c r="E32" s="1406">
        <f>SUM(E28:E31)</f>
        <v>585.87</v>
      </c>
      <c r="F32" s="1521">
        <f t="shared" si="7"/>
        <v>9.4918667963882708E-2</v>
      </c>
      <c r="G32" s="1406">
        <f t="shared" ref="G32:L32" si="9">SUM(G28:G31)</f>
        <v>623.125</v>
      </c>
      <c r="H32" s="1405">
        <f t="shared" si="9"/>
        <v>641.48</v>
      </c>
      <c r="I32" s="1405"/>
      <c r="J32" s="1522"/>
      <c r="K32" s="1405">
        <f>SUM(K28:K31)</f>
        <v>688.43000000000006</v>
      </c>
      <c r="L32" s="1405">
        <f t="shared" si="9"/>
        <v>692.7</v>
      </c>
      <c r="M32" s="1405"/>
      <c r="N32" s="2815"/>
      <c r="O32" s="2816"/>
      <c r="P32" s="2816"/>
      <c r="Q32" s="2816"/>
      <c r="R32" s="2816"/>
      <c r="S32" s="2816"/>
      <c r="T32" s="2816"/>
      <c r="U32" s="2817"/>
      <c r="V32" s="2915"/>
      <c r="Y32" s="84"/>
      <c r="Z32" s="84"/>
    </row>
    <row r="33" spans="1:26" ht="37.5" hidden="1" customHeight="1">
      <c r="A33" s="1523"/>
      <c r="B33" s="1011" t="s">
        <v>2716</v>
      </c>
      <c r="C33" s="1365"/>
      <c r="D33" s="1417"/>
      <c r="E33" s="1068"/>
      <c r="F33" s="1394"/>
      <c r="G33" s="1068"/>
      <c r="H33" s="1075">
        <v>29</v>
      </c>
      <c r="I33" s="1075"/>
      <c r="J33" s="1524">
        <v>29</v>
      </c>
      <c r="K33" s="989">
        <v>29</v>
      </c>
      <c r="L33" s="989">
        <v>29</v>
      </c>
      <c r="M33" s="989">
        <v>29</v>
      </c>
      <c r="N33" s="2818"/>
      <c r="O33" s="2819"/>
      <c r="P33" s="2819"/>
      <c r="Q33" s="2819"/>
      <c r="R33" s="2819"/>
      <c r="S33" s="2819"/>
      <c r="T33" s="2819"/>
      <c r="U33" s="2820"/>
      <c r="V33" s="1031"/>
      <c r="Y33" s="84"/>
      <c r="Z33" s="84"/>
    </row>
    <row r="34" spans="1:26" ht="45" customHeight="1">
      <c r="A34" s="954" t="s">
        <v>2111</v>
      </c>
      <c r="B34" s="954" t="s">
        <v>1225</v>
      </c>
      <c r="C34" s="1525"/>
      <c r="D34" s="1525"/>
      <c r="E34" s="1507">
        <f>SUM(E37,E40,E44,E46,E48,E59,E62,E76,E89,E94,)</f>
        <v>9154.57</v>
      </c>
      <c r="F34" s="1508">
        <f>H34/E34-1</f>
        <v>0.20229207925658965</v>
      </c>
      <c r="G34" s="1507">
        <f t="shared" ref="G34" si="10">SUM(G37,G40,G44,G46,G48,G59,G62,G76,G89,G94,)</f>
        <v>10712.397999999999</v>
      </c>
      <c r="H34" s="1006">
        <f>SUM(H37,H40,H44,H46,H48,H59,H62,H76,H89,H94,)</f>
        <v>11006.466999999997</v>
      </c>
      <c r="I34" s="1048">
        <f>K34/H34-1</f>
        <v>8.1310832985735049E-2</v>
      </c>
      <c r="J34" s="1507">
        <f>SUM(J37,J40,J44,J46,J48,J59,J62,J76,J89,J94,)</f>
        <v>12644.948000000002</v>
      </c>
      <c r="K34" s="1006">
        <f t="shared" ref="K34" si="11">SUM(K37,K40,K44,K46,K48,K59,K62,K76,K89,K94,)</f>
        <v>11901.412000000002</v>
      </c>
      <c r="L34" s="1006">
        <f>SUM(L37,L40,L44,L46,L48,L59,L62,L76,L89,L94,)</f>
        <v>11910.612000000003</v>
      </c>
      <c r="M34" s="1006">
        <f>SUM(M37,M40,M44,M46,M48,M59,M62,M76,M89,M94,)</f>
        <v>11912.412000000002</v>
      </c>
      <c r="N34" s="177" t="s">
        <v>2400</v>
      </c>
      <c r="O34" s="1509"/>
      <c r="P34" s="970" t="s">
        <v>3056</v>
      </c>
      <c r="Q34" s="970" t="s">
        <v>1810</v>
      </c>
      <c r="R34" s="970" t="s">
        <v>586</v>
      </c>
      <c r="S34" s="970" t="s">
        <v>586</v>
      </c>
      <c r="T34" s="970" t="s">
        <v>586</v>
      </c>
      <c r="U34" s="970" t="s">
        <v>586</v>
      </c>
      <c r="V34" s="970"/>
      <c r="Y34" s="84"/>
      <c r="Z34" s="84"/>
    </row>
    <row r="35" spans="1:26" ht="41.45" customHeight="1">
      <c r="A35" s="2746" t="s">
        <v>2112</v>
      </c>
      <c r="B35" s="2574" t="s">
        <v>1226</v>
      </c>
      <c r="C35" s="2897">
        <v>188711925</v>
      </c>
      <c r="D35" s="1098" t="s">
        <v>413</v>
      </c>
      <c r="E35" s="1510">
        <v>4708.1000000000004</v>
      </c>
      <c r="F35" s="1526">
        <f>H35/E35-1</f>
        <v>9.702427730931773E-2</v>
      </c>
      <c r="G35" s="1510">
        <v>4872.9549999999999</v>
      </c>
      <c r="H35" s="1117">
        <v>5164.8999999999996</v>
      </c>
      <c r="I35" s="1054">
        <f t="shared" ref="I35:I48" si="12">K35/H35-1</f>
        <v>0.12947007686499279</v>
      </c>
      <c r="J35" s="1527">
        <v>5833.6</v>
      </c>
      <c r="K35" s="1053">
        <v>5833.6</v>
      </c>
      <c r="L35" s="1053">
        <v>5833.6</v>
      </c>
      <c r="M35" s="1053">
        <v>5833.6</v>
      </c>
      <c r="N35" s="2883" t="s">
        <v>2346</v>
      </c>
      <c r="O35" s="2350" t="s">
        <v>4008</v>
      </c>
      <c r="P35" s="2345" t="s">
        <v>1490</v>
      </c>
      <c r="Q35" s="2911" t="s">
        <v>554</v>
      </c>
      <c r="R35" s="2911" t="s">
        <v>1785</v>
      </c>
      <c r="S35" s="2916" t="s">
        <v>4001</v>
      </c>
      <c r="T35" s="2916" t="s">
        <v>4002</v>
      </c>
      <c r="U35" s="2910" t="s">
        <v>4003</v>
      </c>
      <c r="V35" s="2343" t="s">
        <v>2347</v>
      </c>
      <c r="Y35" s="84"/>
      <c r="Z35" s="84"/>
    </row>
    <row r="36" spans="1:26" ht="34.9" customHeight="1">
      <c r="A36" s="2727"/>
      <c r="B36" s="2575"/>
      <c r="C36" s="2881"/>
      <c r="D36" s="1082" t="s">
        <v>471</v>
      </c>
      <c r="E36" s="1527"/>
      <c r="F36" s="1527"/>
      <c r="G36" s="1527"/>
      <c r="H36" s="1090"/>
      <c r="I36" s="1054"/>
      <c r="J36" s="1527"/>
      <c r="K36" s="1053"/>
      <c r="L36" s="1053"/>
      <c r="M36" s="1053"/>
      <c r="N36" s="2883"/>
      <c r="O36" s="2396"/>
      <c r="P36" s="2345"/>
      <c r="Q36" s="2911"/>
      <c r="R36" s="2911"/>
      <c r="S36" s="2916"/>
      <c r="T36" s="2916"/>
      <c r="U36" s="2911"/>
      <c r="V36" s="2345"/>
      <c r="Y36" s="84"/>
      <c r="Z36" s="84"/>
    </row>
    <row r="37" spans="1:26" ht="37.15" customHeight="1">
      <c r="A37" s="2727"/>
      <c r="B37" s="2575"/>
      <c r="C37" s="2881"/>
      <c r="D37" s="1083" t="s">
        <v>1076</v>
      </c>
      <c r="E37" s="1513">
        <f>SUM(E35:E36)</f>
        <v>4708.1000000000004</v>
      </c>
      <c r="F37" s="1514">
        <f>H37/E37-1</f>
        <v>9.702427730931773E-2</v>
      </c>
      <c r="G37" s="1513">
        <f t="shared" ref="G37:M37" si="13">SUM(G35:G36)</f>
        <v>4872.9549999999999</v>
      </c>
      <c r="H37" s="1091">
        <f t="shared" si="13"/>
        <v>5164.8999999999996</v>
      </c>
      <c r="I37" s="1530">
        <f t="shared" si="12"/>
        <v>0.12947007686499279</v>
      </c>
      <c r="J37" s="1531">
        <f t="shared" si="13"/>
        <v>5833.6</v>
      </c>
      <c r="K37" s="1091">
        <f t="shared" si="13"/>
        <v>5833.6</v>
      </c>
      <c r="L37" s="1091">
        <f t="shared" si="13"/>
        <v>5833.6</v>
      </c>
      <c r="M37" s="1059">
        <f t="shared" si="13"/>
        <v>5833.6</v>
      </c>
      <c r="N37" s="2883"/>
      <c r="O37" s="2396"/>
      <c r="P37" s="2344"/>
      <c r="Q37" s="2912"/>
      <c r="R37" s="2912"/>
      <c r="S37" s="2916"/>
      <c r="T37" s="2916"/>
      <c r="U37" s="2912"/>
      <c r="V37" s="2345"/>
      <c r="Y37" s="84"/>
      <c r="Z37" s="84"/>
    </row>
    <row r="38" spans="1:26" ht="34.9" customHeight="1">
      <c r="A38" s="2727" t="s">
        <v>2113</v>
      </c>
      <c r="B38" s="2575" t="s">
        <v>1227</v>
      </c>
      <c r="C38" s="2881">
        <v>188711925</v>
      </c>
      <c r="D38" s="1098" t="s">
        <v>413</v>
      </c>
      <c r="E38" s="1527">
        <v>541.5</v>
      </c>
      <c r="F38" s="1533">
        <f>H38/E38-1</f>
        <v>1.4855032317636194</v>
      </c>
      <c r="G38" s="1527">
        <v>1226.4000000000001</v>
      </c>
      <c r="H38" s="1090">
        <f>1281.8+64.1</f>
        <v>1345.8999999999999</v>
      </c>
      <c r="I38" s="1054">
        <f t="shared" si="12"/>
        <v>0.24177130544616987</v>
      </c>
      <c r="J38" s="1527">
        <v>1671.3</v>
      </c>
      <c r="K38" s="1053">
        <v>1671.3</v>
      </c>
      <c r="L38" s="1053">
        <v>1671.3</v>
      </c>
      <c r="M38" s="1053">
        <v>1671.3</v>
      </c>
      <c r="N38" s="2883"/>
      <c r="O38" s="2395" t="s">
        <v>4007</v>
      </c>
      <c r="P38" s="2343" t="s">
        <v>1491</v>
      </c>
      <c r="Q38" s="2910" t="s">
        <v>1456</v>
      </c>
      <c r="R38" s="2910" t="s">
        <v>1787</v>
      </c>
      <c r="S38" s="2916" t="s">
        <v>4004</v>
      </c>
      <c r="T38" s="2916" t="s">
        <v>4005</v>
      </c>
      <c r="U38" s="2910" t="s">
        <v>4006</v>
      </c>
      <c r="V38" s="2345"/>
      <c r="Y38" s="84"/>
      <c r="Z38" s="84"/>
    </row>
    <row r="39" spans="1:26" ht="31.5" customHeight="1">
      <c r="A39" s="2727"/>
      <c r="B39" s="2575"/>
      <c r="C39" s="2881"/>
      <c r="D39" s="1082" t="s">
        <v>471</v>
      </c>
      <c r="E39" s="1527"/>
      <c r="F39" s="1527"/>
      <c r="G39" s="1527"/>
      <c r="H39" s="1090"/>
      <c r="I39" s="1054"/>
      <c r="J39" s="1527"/>
      <c r="K39" s="1053"/>
      <c r="L39" s="1053"/>
      <c r="M39" s="1053"/>
      <c r="N39" s="2883"/>
      <c r="O39" s="2396"/>
      <c r="P39" s="2345"/>
      <c r="Q39" s="2911"/>
      <c r="R39" s="2911"/>
      <c r="S39" s="2916"/>
      <c r="T39" s="2916"/>
      <c r="U39" s="2911"/>
      <c r="V39" s="2345"/>
      <c r="Y39" s="84"/>
      <c r="Z39" s="84"/>
    </row>
    <row r="40" spans="1:26" ht="36" customHeight="1">
      <c r="A40" s="2727"/>
      <c r="B40" s="2575"/>
      <c r="C40" s="2881"/>
      <c r="D40" s="1083" t="s">
        <v>1076</v>
      </c>
      <c r="E40" s="1513">
        <f>SUM(E38:E39)</f>
        <v>541.5</v>
      </c>
      <c r="F40" s="1514">
        <f t="shared" ref="F40" si="14">SUM(F38:F39)</f>
        <v>1.4855032317636194</v>
      </c>
      <c r="G40" s="1513">
        <f t="shared" ref="G40:M40" si="15">SUM(G38:G39)</f>
        <v>1226.4000000000001</v>
      </c>
      <c r="H40" s="1091">
        <f t="shared" si="15"/>
        <v>1345.8999999999999</v>
      </c>
      <c r="I40" s="1530">
        <f t="shared" si="12"/>
        <v>0.24177130544616987</v>
      </c>
      <c r="J40" s="1531">
        <f t="shared" si="15"/>
        <v>1671.3</v>
      </c>
      <c r="K40" s="1091">
        <f t="shared" si="15"/>
        <v>1671.3</v>
      </c>
      <c r="L40" s="1091">
        <f t="shared" si="15"/>
        <v>1671.3</v>
      </c>
      <c r="M40" s="1059">
        <f t="shared" si="15"/>
        <v>1671.3</v>
      </c>
      <c r="N40" s="2883"/>
      <c r="O40" s="2396"/>
      <c r="P40" s="2344"/>
      <c r="Q40" s="2911"/>
      <c r="R40" s="2911"/>
      <c r="S40" s="2916"/>
      <c r="T40" s="2916"/>
      <c r="U40" s="2912"/>
      <c r="V40" s="2345"/>
      <c r="Y40" s="84"/>
      <c r="Z40" s="84"/>
    </row>
    <row r="41" spans="1:26" ht="55.5" customHeight="1">
      <c r="A41" s="2727" t="s">
        <v>2114</v>
      </c>
      <c r="B41" s="2575" t="s">
        <v>1804</v>
      </c>
      <c r="C41" s="2881">
        <v>188711925</v>
      </c>
      <c r="D41" s="1082" t="s">
        <v>1448</v>
      </c>
      <c r="E41" s="1527">
        <v>147.38</v>
      </c>
      <c r="F41" s="1534">
        <f>H41/E41-1</f>
        <v>0.1166711901207762</v>
      </c>
      <c r="G41" s="1527">
        <v>148.17599999999999</v>
      </c>
      <c r="H41" s="1090">
        <v>164.57499999999999</v>
      </c>
      <c r="I41" s="1054">
        <f t="shared" si="12"/>
        <v>0.26958529545799803</v>
      </c>
      <c r="J41" s="1527">
        <v>156.41999999999999</v>
      </c>
      <c r="K41" s="1053">
        <v>208.94200000000001</v>
      </c>
      <c r="L41" s="1053">
        <v>208.94200000000001</v>
      </c>
      <c r="M41" s="1053">
        <v>208.94200000000001</v>
      </c>
      <c r="N41" s="2883"/>
      <c r="O41" s="2395" t="s">
        <v>1788</v>
      </c>
      <c r="P41" s="2343" t="s">
        <v>1492</v>
      </c>
      <c r="Q41" s="1528" t="s">
        <v>1803</v>
      </c>
      <c r="R41" s="1528" t="s">
        <v>2924</v>
      </c>
      <c r="S41" s="1528" t="s">
        <v>4009</v>
      </c>
      <c r="T41" s="1528" t="s">
        <v>4010</v>
      </c>
      <c r="U41" s="1528" t="s">
        <v>4011</v>
      </c>
      <c r="V41" s="2345"/>
      <c r="Y41" s="84"/>
      <c r="Z41" s="84"/>
    </row>
    <row r="42" spans="1:26" ht="30.75" customHeight="1">
      <c r="A42" s="2727"/>
      <c r="B42" s="2575"/>
      <c r="C42" s="2881"/>
      <c r="D42" s="1082" t="s">
        <v>471</v>
      </c>
      <c r="E42" s="1527">
        <v>2176.9299999999998</v>
      </c>
      <c r="F42" s="1534">
        <f t="shared" ref="F42:F44" si="16">H42/E42-1</f>
        <v>0</v>
      </c>
      <c r="G42" s="1527">
        <v>2176.9299999999998</v>
      </c>
      <c r="H42" s="1090">
        <v>2176.9299999999998</v>
      </c>
      <c r="I42" s="1054">
        <f t="shared" si="12"/>
        <v>0</v>
      </c>
      <c r="J42" s="1527">
        <v>2300</v>
      </c>
      <c r="K42" s="1535">
        <v>2176.9299999999998</v>
      </c>
      <c r="L42" s="1535">
        <v>2176.9299999999998</v>
      </c>
      <c r="M42" s="1535">
        <v>2176.9299999999998</v>
      </c>
      <c r="N42" s="2883"/>
      <c r="O42" s="2396"/>
      <c r="P42" s="2345"/>
      <c r="Q42" s="2916" t="s">
        <v>2966</v>
      </c>
      <c r="R42" s="2916" t="s">
        <v>2925</v>
      </c>
      <c r="S42" s="2916" t="s">
        <v>2925</v>
      </c>
      <c r="T42" s="2916" t="s">
        <v>2925</v>
      </c>
      <c r="U42" s="2910" t="s">
        <v>2925</v>
      </c>
      <c r="V42" s="2345"/>
      <c r="Y42" s="84"/>
      <c r="Z42" s="84"/>
    </row>
    <row r="43" spans="1:26" ht="27" customHeight="1">
      <c r="A43" s="2727"/>
      <c r="B43" s="2575"/>
      <c r="C43" s="2881"/>
      <c r="D43" s="1082" t="s">
        <v>1122</v>
      </c>
      <c r="E43" s="1527"/>
      <c r="F43" s="1534"/>
      <c r="G43" s="1527">
        <v>380</v>
      </c>
      <c r="H43" s="1090">
        <v>0</v>
      </c>
      <c r="I43" s="1054"/>
      <c r="J43" s="1527"/>
      <c r="K43" s="1053"/>
      <c r="L43" s="1053"/>
      <c r="M43" s="1053"/>
      <c r="N43" s="2883"/>
      <c r="O43" s="2396"/>
      <c r="P43" s="2345"/>
      <c r="Q43" s="2916"/>
      <c r="R43" s="2916"/>
      <c r="S43" s="2916"/>
      <c r="T43" s="2916"/>
      <c r="U43" s="2911"/>
      <c r="V43" s="2345"/>
      <c r="Y43" s="84"/>
      <c r="Z43" s="84"/>
    </row>
    <row r="44" spans="1:26" ht="30" customHeight="1">
      <c r="A44" s="2727"/>
      <c r="B44" s="2575"/>
      <c r="C44" s="2881"/>
      <c r="D44" s="1083" t="s">
        <v>1076</v>
      </c>
      <c r="E44" s="1513">
        <f>SUM(E41:E42)</f>
        <v>2324.31</v>
      </c>
      <c r="F44" s="1514">
        <f t="shared" si="16"/>
        <v>7.3978944288841664E-3</v>
      </c>
      <c r="G44" s="1513">
        <f>SUM(G41:G43)</f>
        <v>2705.1059999999998</v>
      </c>
      <c r="H44" s="1091">
        <f>SUM(H41:H43)</f>
        <v>2341.5049999999997</v>
      </c>
      <c r="I44" s="1530">
        <f t="shared" si="12"/>
        <v>1.8948069724386674E-2</v>
      </c>
      <c r="J44" s="1531">
        <f t="shared" ref="J44:M44" si="17">SUM(J41:J43)</f>
        <v>2456.42</v>
      </c>
      <c r="K44" s="1091">
        <f t="shared" si="17"/>
        <v>2385.8719999999998</v>
      </c>
      <c r="L44" s="1091">
        <f t="shared" si="17"/>
        <v>2385.8719999999998</v>
      </c>
      <c r="M44" s="1091">
        <f t="shared" si="17"/>
        <v>2385.8719999999998</v>
      </c>
      <c r="N44" s="2883"/>
      <c r="O44" s="2396"/>
      <c r="P44" s="2345"/>
      <c r="Q44" s="2916"/>
      <c r="R44" s="2916"/>
      <c r="S44" s="2916"/>
      <c r="T44" s="2916"/>
      <c r="U44" s="2912"/>
      <c r="V44" s="2345"/>
      <c r="Y44" s="84"/>
      <c r="Z44" s="84"/>
    </row>
    <row r="45" spans="1:26" ht="38.450000000000003" customHeight="1">
      <c r="A45" s="2727" t="s">
        <v>2115</v>
      </c>
      <c r="B45" s="2575" t="s">
        <v>2967</v>
      </c>
      <c r="C45" s="2881">
        <v>188711925</v>
      </c>
      <c r="D45" s="1082" t="s">
        <v>413</v>
      </c>
      <c r="E45" s="1527"/>
      <c r="F45" s="1527"/>
      <c r="G45" s="1527"/>
      <c r="H45" s="1090"/>
      <c r="I45" s="1054"/>
      <c r="J45" s="1527"/>
      <c r="K45" s="1053"/>
      <c r="L45" s="1053"/>
      <c r="M45" s="1053"/>
      <c r="N45" s="2883"/>
      <c r="O45" s="2395" t="s">
        <v>2968</v>
      </c>
      <c r="P45" s="2343" t="s">
        <v>1493</v>
      </c>
      <c r="Q45" s="2910" t="s">
        <v>1457</v>
      </c>
      <c r="R45" s="2910" t="s">
        <v>324</v>
      </c>
      <c r="S45" s="2916" t="s">
        <v>324</v>
      </c>
      <c r="T45" s="2916" t="s">
        <v>324</v>
      </c>
      <c r="U45" s="2910" t="s">
        <v>324</v>
      </c>
      <c r="V45" s="2345"/>
      <c r="Y45" s="84"/>
      <c r="Z45" s="84"/>
    </row>
    <row r="46" spans="1:26" ht="69" customHeight="1">
      <c r="A46" s="2727"/>
      <c r="B46" s="2575"/>
      <c r="C46" s="2881"/>
      <c r="D46" s="1083" t="s">
        <v>1076</v>
      </c>
      <c r="E46" s="1513">
        <f>E45</f>
        <v>0</v>
      </c>
      <c r="F46" s="1513">
        <f t="shared" ref="F46:H46" si="18">F45</f>
        <v>0</v>
      </c>
      <c r="G46" s="1513">
        <f t="shared" si="18"/>
        <v>0</v>
      </c>
      <c r="H46" s="1091">
        <f t="shared" si="18"/>
        <v>0</v>
      </c>
      <c r="I46" s="1060"/>
      <c r="J46" s="1513"/>
      <c r="K46" s="1059"/>
      <c r="L46" s="1059"/>
      <c r="M46" s="1059"/>
      <c r="N46" s="2883"/>
      <c r="O46" s="2396"/>
      <c r="P46" s="2345"/>
      <c r="Q46" s="2911"/>
      <c r="R46" s="2911"/>
      <c r="S46" s="2916"/>
      <c r="T46" s="2916"/>
      <c r="U46" s="2912"/>
      <c r="V46" s="2345"/>
      <c r="Y46" s="84"/>
      <c r="Z46" s="84"/>
    </row>
    <row r="47" spans="1:26" ht="35.25" customHeight="1">
      <c r="A47" s="2727" t="s">
        <v>2116</v>
      </c>
      <c r="B47" s="2575" t="s">
        <v>1228</v>
      </c>
      <c r="C47" s="2881">
        <v>188711925</v>
      </c>
      <c r="D47" s="1082" t="s">
        <v>471</v>
      </c>
      <c r="E47" s="1527">
        <v>150.85</v>
      </c>
      <c r="F47" s="1534">
        <f t="shared" ref="F47:F48" si="19">H47/E47-1</f>
        <v>4.1962214119986907E-2</v>
      </c>
      <c r="G47" s="1527"/>
      <c r="H47" s="1090">
        <f>SUM(H49,H50,H51,H52,H53,H54,H55,H56,H57,)</f>
        <v>157.18</v>
      </c>
      <c r="I47" s="1054">
        <f t="shared" si="12"/>
        <v>-0.10357551851380586</v>
      </c>
      <c r="J47" s="1527">
        <v>156</v>
      </c>
      <c r="K47" s="1053">
        <f>SUM(K49,K50,K51,K52,K53,K54,K55,K56,K57,)</f>
        <v>140.9</v>
      </c>
      <c r="L47" s="1053">
        <f>SUM(L49,L50,L51,L52,L53,L54,L55,L56,L57,)</f>
        <v>147.9</v>
      </c>
      <c r="M47" s="1053">
        <f t="shared" ref="M47" si="20">SUM(M49,M50,M51,M52,M53,M54,M55,M56,M57,)</f>
        <v>147.9</v>
      </c>
      <c r="N47" s="2883"/>
      <c r="O47" s="2395" t="s">
        <v>1451</v>
      </c>
      <c r="P47" s="2343" t="s">
        <v>1494</v>
      </c>
      <c r="Q47" s="2343" t="s">
        <v>4063</v>
      </c>
      <c r="R47" s="2343" t="s">
        <v>308</v>
      </c>
      <c r="S47" s="2342" t="s">
        <v>586</v>
      </c>
      <c r="T47" s="2342" t="s">
        <v>586</v>
      </c>
      <c r="U47" s="2343" t="s">
        <v>586</v>
      </c>
      <c r="V47" s="2345"/>
      <c r="Y47" s="84"/>
      <c r="Z47" s="84"/>
    </row>
    <row r="48" spans="1:26" ht="76.150000000000006" customHeight="1">
      <c r="A48" s="2727"/>
      <c r="B48" s="2575"/>
      <c r="C48" s="2881"/>
      <c r="D48" s="1083" t="s">
        <v>1076</v>
      </c>
      <c r="E48" s="1513">
        <f>E47</f>
        <v>150.85</v>
      </c>
      <c r="F48" s="1514">
        <f t="shared" si="19"/>
        <v>4.1962214119986907E-2</v>
      </c>
      <c r="G48" s="1513"/>
      <c r="H48" s="1091">
        <f>H47</f>
        <v>157.18</v>
      </c>
      <c r="I48" s="1536">
        <f t="shared" si="12"/>
        <v>-0.10357551851380586</v>
      </c>
      <c r="J48" s="1531">
        <f t="shared" ref="J48:M48" si="21">J47</f>
        <v>156</v>
      </c>
      <c r="K48" s="1091">
        <f t="shared" si="21"/>
        <v>140.9</v>
      </c>
      <c r="L48" s="1091">
        <f t="shared" si="21"/>
        <v>147.9</v>
      </c>
      <c r="M48" s="1059">
        <f t="shared" si="21"/>
        <v>147.9</v>
      </c>
      <c r="N48" s="2883"/>
      <c r="O48" s="2400"/>
      <c r="P48" s="2345"/>
      <c r="Q48" s="2345"/>
      <c r="R48" s="2345"/>
      <c r="S48" s="2342"/>
      <c r="T48" s="2342"/>
      <c r="U48" s="2344"/>
      <c r="V48" s="2344"/>
      <c r="Y48" s="84"/>
      <c r="Z48" s="84"/>
    </row>
    <row r="49" spans="1:26" ht="18" hidden="1" customHeight="1">
      <c r="A49" s="1416"/>
      <c r="B49" s="1537" t="s">
        <v>1114</v>
      </c>
      <c r="C49" s="1538"/>
      <c r="D49" s="1072"/>
      <c r="E49" s="1068"/>
      <c r="F49" s="1068"/>
      <c r="G49" s="1068">
        <v>22.8</v>
      </c>
      <c r="H49" s="1123">
        <v>26</v>
      </c>
      <c r="I49" s="989"/>
      <c r="J49" s="1518">
        <v>25</v>
      </c>
      <c r="K49" s="1539">
        <v>20.3</v>
      </c>
      <c r="L49" s="1539">
        <v>21.3</v>
      </c>
      <c r="M49" s="1539">
        <v>21.3</v>
      </c>
      <c r="N49" s="1685"/>
      <c r="O49" s="989"/>
      <c r="P49" s="989"/>
      <c r="Q49" s="2931" t="s">
        <v>3569</v>
      </c>
      <c r="R49" s="1068"/>
      <c r="S49" s="1540">
        <v>75</v>
      </c>
      <c r="T49" s="1068"/>
      <c r="U49" s="1068"/>
      <c r="V49" s="1068"/>
      <c r="Y49" s="84"/>
      <c r="Z49" s="84"/>
    </row>
    <row r="50" spans="1:26" ht="21" hidden="1" customHeight="1">
      <c r="A50" s="1416"/>
      <c r="B50" s="1537" t="s">
        <v>1115</v>
      </c>
      <c r="C50" s="1538"/>
      <c r="D50" s="1072"/>
      <c r="E50" s="1068"/>
      <c r="F50" s="1068"/>
      <c r="G50" s="1068">
        <v>28.5</v>
      </c>
      <c r="H50" s="1123">
        <v>32.450000000000003</v>
      </c>
      <c r="I50" s="989"/>
      <c r="J50" s="1518">
        <v>35.695</v>
      </c>
      <c r="K50" s="1539">
        <v>26.7</v>
      </c>
      <c r="L50" s="1539">
        <v>28.04</v>
      </c>
      <c r="M50" s="1539">
        <v>28.04</v>
      </c>
      <c r="N50" s="1685"/>
      <c r="O50" s="989"/>
      <c r="P50" s="989"/>
      <c r="Q50" s="2932"/>
      <c r="R50" s="1068"/>
      <c r="S50" s="1540"/>
      <c r="T50" s="1068"/>
      <c r="U50" s="1068"/>
      <c r="V50" s="1068"/>
      <c r="Y50" s="84"/>
      <c r="Z50" s="84"/>
    </row>
    <row r="51" spans="1:26" ht="17.25" hidden="1" customHeight="1">
      <c r="A51" s="1416"/>
      <c r="B51" s="1537" t="s">
        <v>1116</v>
      </c>
      <c r="C51" s="1538"/>
      <c r="D51" s="1072"/>
      <c r="E51" s="1068"/>
      <c r="F51" s="1068"/>
      <c r="G51" s="1068">
        <v>18.260000000000002</v>
      </c>
      <c r="H51" s="1123">
        <v>22.5</v>
      </c>
      <c r="I51" s="989"/>
      <c r="J51" s="1518">
        <v>15.4</v>
      </c>
      <c r="K51" s="1539">
        <v>14.95</v>
      </c>
      <c r="L51" s="1539">
        <v>15.7</v>
      </c>
      <c r="M51" s="1539">
        <v>15.7</v>
      </c>
      <c r="N51" s="1685"/>
      <c r="O51" s="989"/>
      <c r="P51" s="989"/>
      <c r="Q51" s="2932"/>
      <c r="R51" s="1068"/>
      <c r="S51" s="1540">
        <v>63</v>
      </c>
      <c r="T51" s="1068"/>
      <c r="U51" s="1068"/>
      <c r="V51" s="1068"/>
      <c r="Y51" s="84"/>
      <c r="Z51" s="84"/>
    </row>
    <row r="52" spans="1:26" ht="14.25" hidden="1" customHeight="1">
      <c r="A52" s="1416"/>
      <c r="B52" s="1541" t="s">
        <v>1084</v>
      </c>
      <c r="C52" s="1538"/>
      <c r="D52" s="1072"/>
      <c r="E52" s="1068"/>
      <c r="F52" s="1068"/>
      <c r="G52" s="1068">
        <v>21.4</v>
      </c>
      <c r="H52" s="1123">
        <v>18.600000000000001</v>
      </c>
      <c r="I52" s="989"/>
      <c r="J52" s="1518">
        <v>18.600000000000001</v>
      </c>
      <c r="K52" s="1539">
        <v>19.7</v>
      </c>
      <c r="L52" s="1539">
        <v>20.69</v>
      </c>
      <c r="M52" s="1539">
        <v>20.69</v>
      </c>
      <c r="N52" s="1686"/>
      <c r="O52" s="989"/>
      <c r="P52" s="989"/>
      <c r="Q52" s="2932"/>
      <c r="R52" s="1068"/>
      <c r="S52" s="1540">
        <v>53</v>
      </c>
      <c r="T52" s="1068"/>
      <c r="U52" s="1068"/>
      <c r="V52" s="1068"/>
      <c r="Y52" s="84"/>
      <c r="Z52" s="84"/>
    </row>
    <row r="53" spans="1:26" ht="23.25" hidden="1" customHeight="1">
      <c r="A53" s="1542"/>
      <c r="B53" s="957" t="s">
        <v>1117</v>
      </c>
      <c r="C53" s="1543"/>
      <c r="D53" s="1072"/>
      <c r="E53" s="1068"/>
      <c r="F53" s="1068"/>
      <c r="G53" s="1068">
        <v>15</v>
      </c>
      <c r="H53" s="1123">
        <v>15.5</v>
      </c>
      <c r="I53" s="989"/>
      <c r="J53" s="1518">
        <v>12.4</v>
      </c>
      <c r="K53" s="1539">
        <v>8.5</v>
      </c>
      <c r="L53" s="1539">
        <v>8.92</v>
      </c>
      <c r="M53" s="1539">
        <v>8.92</v>
      </c>
      <c r="N53" s="1685"/>
      <c r="O53" s="989"/>
      <c r="P53" s="989"/>
      <c r="Q53" s="2932"/>
      <c r="R53" s="1068"/>
      <c r="S53" s="1540">
        <v>33</v>
      </c>
      <c r="T53" s="1068"/>
      <c r="U53" s="1068"/>
      <c r="V53" s="1068"/>
      <c r="Y53" s="84"/>
      <c r="Z53" s="84"/>
    </row>
    <row r="54" spans="1:26" ht="18" hidden="1" customHeight="1">
      <c r="A54" s="1416"/>
      <c r="B54" s="959" t="s">
        <v>1812</v>
      </c>
      <c r="C54" s="1538"/>
      <c r="D54" s="1072"/>
      <c r="E54" s="1544">
        <v>700</v>
      </c>
      <c r="F54" s="1068"/>
      <c r="G54" s="1068"/>
      <c r="H54" s="1123">
        <v>0.63</v>
      </c>
      <c r="I54" s="989"/>
      <c r="J54" s="1518"/>
      <c r="K54" s="1539">
        <v>0.4</v>
      </c>
      <c r="L54" s="1539">
        <v>0.42</v>
      </c>
      <c r="M54" s="1539">
        <v>0.42</v>
      </c>
      <c r="N54" s="1685"/>
      <c r="O54" s="989"/>
      <c r="P54" s="989"/>
      <c r="Q54" s="2932"/>
      <c r="R54" s="1068"/>
      <c r="S54" s="1540"/>
      <c r="T54" s="1068"/>
      <c r="U54" s="1068"/>
      <c r="V54" s="1068"/>
      <c r="Y54" s="84"/>
      <c r="Z54" s="84"/>
    </row>
    <row r="55" spans="1:26" ht="17.25" hidden="1" customHeight="1">
      <c r="A55" s="1416"/>
      <c r="B55" s="1537" t="s">
        <v>2717</v>
      </c>
      <c r="C55" s="1538"/>
      <c r="D55" s="1072"/>
      <c r="E55" s="1544">
        <v>107400</v>
      </c>
      <c r="F55" s="1068"/>
      <c r="G55" s="1068"/>
      <c r="H55" s="1123">
        <v>1.5</v>
      </c>
      <c r="I55" s="989"/>
      <c r="J55" s="1518"/>
      <c r="K55" s="989"/>
      <c r="L55" s="989"/>
      <c r="M55" s="989"/>
      <c r="N55" s="1477"/>
      <c r="O55" s="1422"/>
      <c r="P55" s="1011"/>
      <c r="Q55" s="2932"/>
      <c r="R55" s="1010"/>
      <c r="S55" s="1540"/>
      <c r="T55" s="1010"/>
      <c r="U55" s="1010"/>
      <c r="V55" s="992"/>
      <c r="Y55" s="84"/>
      <c r="Z55" s="84"/>
    </row>
    <row r="56" spans="1:26" ht="14.25" hidden="1" customHeight="1">
      <c r="A56" s="1545"/>
      <c r="B56" s="1541" t="s">
        <v>1813</v>
      </c>
      <c r="C56" s="1546"/>
      <c r="D56" s="1141"/>
      <c r="E56" s="1544">
        <v>30000</v>
      </c>
      <c r="F56" s="1068"/>
      <c r="G56" s="1398"/>
      <c r="H56" s="1123">
        <v>31.06</v>
      </c>
      <c r="I56" s="989"/>
      <c r="J56" s="1518"/>
      <c r="K56" s="1539">
        <v>34.729999999999997</v>
      </c>
      <c r="L56" s="1539">
        <v>36.43</v>
      </c>
      <c r="M56" s="1539">
        <v>36.43</v>
      </c>
      <c r="N56" s="1685"/>
      <c r="O56" s="989"/>
      <c r="P56" s="1011"/>
      <c r="Q56" s="2932"/>
      <c r="R56" s="1010"/>
      <c r="S56" s="1540"/>
      <c r="T56" s="1010"/>
      <c r="U56" s="1010"/>
      <c r="V56" s="992"/>
      <c r="Y56" s="84"/>
      <c r="Z56" s="84"/>
    </row>
    <row r="57" spans="1:26" ht="17.25" hidden="1" customHeight="1">
      <c r="A57" s="1417"/>
      <c r="B57" s="957" t="s">
        <v>1814</v>
      </c>
      <c r="C57" s="1547"/>
      <c r="D57" s="990"/>
      <c r="E57" s="1544">
        <v>12750</v>
      </c>
      <c r="F57" s="1068"/>
      <c r="G57" s="1068"/>
      <c r="H57" s="1123">
        <v>8.94</v>
      </c>
      <c r="I57" s="989"/>
      <c r="J57" s="1518"/>
      <c r="K57" s="1539">
        <v>15.62</v>
      </c>
      <c r="L57" s="1539">
        <v>16.399999999999999</v>
      </c>
      <c r="M57" s="1539">
        <v>16.399999999999999</v>
      </c>
      <c r="N57" s="1685"/>
      <c r="O57" s="989"/>
      <c r="P57" s="1014"/>
      <c r="Q57" s="2933"/>
      <c r="R57" s="1013"/>
      <c r="S57" s="1540"/>
      <c r="T57" s="1010"/>
      <c r="U57" s="1010"/>
      <c r="V57" s="992"/>
      <c r="Y57" s="84"/>
      <c r="Z57" s="84"/>
    </row>
    <row r="58" spans="1:26" ht="33.75" customHeight="1">
      <c r="A58" s="2746" t="s">
        <v>2117</v>
      </c>
      <c r="B58" s="2574" t="s">
        <v>1229</v>
      </c>
      <c r="C58" s="2897">
        <v>300079075</v>
      </c>
      <c r="D58" s="1098" t="s">
        <v>1448</v>
      </c>
      <c r="E58" s="1510">
        <v>555.20000000000005</v>
      </c>
      <c r="F58" s="1526">
        <f t="shared" ref="F58:F59" si="22">H58/E58-1</f>
        <v>2.6296829971181435E-2</v>
      </c>
      <c r="G58" s="1510">
        <v>583.53800000000001</v>
      </c>
      <c r="H58" s="1090">
        <f>497.4+72.4</f>
        <v>569.79999999999995</v>
      </c>
      <c r="I58" s="1054">
        <f t="shared" ref="I58:I62" si="23">K58/H58-1</f>
        <v>7.7220077220079286E-3</v>
      </c>
      <c r="J58" s="1527">
        <v>554.38800000000003</v>
      </c>
      <c r="K58" s="1053">
        <v>574.20000000000005</v>
      </c>
      <c r="L58" s="1053">
        <v>574.20000000000005</v>
      </c>
      <c r="M58" s="1053">
        <v>574.20000000000005</v>
      </c>
      <c r="N58" s="2883" t="s">
        <v>2401</v>
      </c>
      <c r="O58" s="2395" t="s">
        <v>1789</v>
      </c>
      <c r="P58" s="2343" t="s">
        <v>1495</v>
      </c>
      <c r="Q58" s="2910" t="s">
        <v>1458</v>
      </c>
      <c r="R58" s="2910" t="s">
        <v>9</v>
      </c>
      <c r="S58" s="2916" t="s">
        <v>4012</v>
      </c>
      <c r="T58" s="2916" t="s">
        <v>4012</v>
      </c>
      <c r="U58" s="2910" t="s">
        <v>4012</v>
      </c>
      <c r="V58" s="2343" t="s">
        <v>2348</v>
      </c>
      <c r="Y58" s="84"/>
      <c r="Z58" s="84"/>
    </row>
    <row r="59" spans="1:26" ht="43.9" customHeight="1">
      <c r="A59" s="2727"/>
      <c r="B59" s="2575"/>
      <c r="C59" s="2881"/>
      <c r="D59" s="1083" t="s">
        <v>1076</v>
      </c>
      <c r="E59" s="1513">
        <f>E58</f>
        <v>555.20000000000005</v>
      </c>
      <c r="F59" s="1514">
        <f t="shared" si="22"/>
        <v>2.6296829971181435E-2</v>
      </c>
      <c r="G59" s="1513">
        <f t="shared" ref="G59:M59" si="24">G58</f>
        <v>583.53800000000001</v>
      </c>
      <c r="H59" s="1091">
        <f t="shared" si="24"/>
        <v>569.79999999999995</v>
      </c>
      <c r="I59" s="1530">
        <f t="shared" si="23"/>
        <v>7.7220077220079286E-3</v>
      </c>
      <c r="J59" s="1531">
        <f t="shared" si="24"/>
        <v>554.38800000000003</v>
      </c>
      <c r="K59" s="1091">
        <f t="shared" si="24"/>
        <v>574.20000000000005</v>
      </c>
      <c r="L59" s="1091">
        <f t="shared" si="24"/>
        <v>574.20000000000005</v>
      </c>
      <c r="M59" s="1059">
        <f t="shared" si="24"/>
        <v>574.20000000000005</v>
      </c>
      <c r="N59" s="2883"/>
      <c r="O59" s="2396"/>
      <c r="P59" s="2345"/>
      <c r="Q59" s="2911"/>
      <c r="R59" s="2911"/>
      <c r="S59" s="2916"/>
      <c r="T59" s="2916"/>
      <c r="U59" s="2912"/>
      <c r="V59" s="2345"/>
      <c r="Y59" s="84"/>
      <c r="Z59" s="84"/>
    </row>
    <row r="60" spans="1:26" ht="32.25" customHeight="1">
      <c r="A60" s="2727" t="s">
        <v>2118</v>
      </c>
      <c r="B60" s="2575" t="s">
        <v>1230</v>
      </c>
      <c r="C60" s="2881" t="s">
        <v>1080</v>
      </c>
      <c r="D60" s="1082" t="s">
        <v>1448</v>
      </c>
      <c r="E60" s="1527">
        <f>SUM(E63:E73)</f>
        <v>354.83</v>
      </c>
      <c r="F60" s="1534">
        <f>H60/E60-1</f>
        <v>7.2513598061043405E-2</v>
      </c>
      <c r="G60" s="1527">
        <f t="shared" ref="G60" si="25">SUM(G63:G73)</f>
        <v>359.41899999999998</v>
      </c>
      <c r="H60" s="1090">
        <f>H63+H64+H65+H66+H67+H68+H69+H71+H72+H73</f>
        <v>380.56</v>
      </c>
      <c r="I60" s="1054">
        <f>K60/H60-1</f>
        <v>0.1707483708219466</v>
      </c>
      <c r="J60" s="1527">
        <f>SUM(J63,J64,J65,J66,J67,J68,J69,J70,J71,J72,J73,)</f>
        <v>376.34000000000003</v>
      </c>
      <c r="K60" s="1535">
        <f>SUM(K63,K64,K65,K66,K67,K68,K69,K71,K72,K73,)</f>
        <v>445.54</v>
      </c>
      <c r="L60" s="1535">
        <f>SUM(L63,L64,L65,L66,L67,L68,L69,L70,L71,L72,L73,)</f>
        <v>445.54</v>
      </c>
      <c r="M60" s="1535">
        <f t="shared" ref="M60" si="26">SUM(M63,M64,M65,M66,M67,M68,M69,M70,M71,M72,M73,)</f>
        <v>445.54</v>
      </c>
      <c r="N60" s="2907" t="s">
        <v>2346</v>
      </c>
      <c r="O60" s="2395" t="s">
        <v>1790</v>
      </c>
      <c r="P60" s="2343" t="s">
        <v>1496</v>
      </c>
      <c r="Q60" s="2910" t="s">
        <v>1459</v>
      </c>
      <c r="R60" s="2910" t="s">
        <v>2926</v>
      </c>
      <c r="S60" s="2916" t="s">
        <v>4013</v>
      </c>
      <c r="T60" s="2916" t="s">
        <v>4013</v>
      </c>
      <c r="U60" s="2916" t="s">
        <v>4013</v>
      </c>
      <c r="V60" s="2345"/>
      <c r="Y60" s="84"/>
      <c r="Z60" s="84"/>
    </row>
    <row r="61" spans="1:26" ht="33.75" customHeight="1">
      <c r="A61" s="2727"/>
      <c r="B61" s="2575"/>
      <c r="C61" s="2881"/>
      <c r="D61" s="1082" t="s">
        <v>1122</v>
      </c>
      <c r="E61" s="1527"/>
      <c r="F61" s="1534"/>
      <c r="G61" s="1527"/>
      <c r="H61" s="1090">
        <f>H70</f>
        <v>0.55200000000000005</v>
      </c>
      <c r="I61" s="1054">
        <f t="shared" si="23"/>
        <v>-1</v>
      </c>
      <c r="J61" s="1527"/>
      <c r="K61" s="1053">
        <f>K70</f>
        <v>0</v>
      </c>
      <c r="L61" s="1053">
        <f t="shared" ref="L61:M61" si="27">L70</f>
        <v>0</v>
      </c>
      <c r="M61" s="1053">
        <f t="shared" si="27"/>
        <v>0</v>
      </c>
      <c r="N61" s="2907"/>
      <c r="O61" s="2395"/>
      <c r="P61" s="2345"/>
      <c r="Q61" s="2911"/>
      <c r="R61" s="2911"/>
      <c r="S61" s="2916"/>
      <c r="T61" s="2916"/>
      <c r="U61" s="2916"/>
      <c r="V61" s="2345"/>
      <c r="Y61" s="84"/>
      <c r="Z61" s="84"/>
    </row>
    <row r="62" spans="1:26" ht="82.9" customHeight="1">
      <c r="A62" s="2727"/>
      <c r="B62" s="2575"/>
      <c r="C62" s="2881"/>
      <c r="D62" s="1083" t="s">
        <v>1076</v>
      </c>
      <c r="E62" s="1513">
        <f>E60</f>
        <v>354.83</v>
      </c>
      <c r="F62" s="1514">
        <f>F60</f>
        <v>7.2513598061043405E-2</v>
      </c>
      <c r="G62" s="1513">
        <f t="shared" ref="G62" si="28">G60</f>
        <v>359.41899999999998</v>
      </c>
      <c r="H62" s="1091">
        <f>H60+H61</f>
        <v>381.11200000000002</v>
      </c>
      <c r="I62" s="1530">
        <f t="shared" si="23"/>
        <v>0.16905266693255516</v>
      </c>
      <c r="J62" s="1531">
        <f>J60+J61</f>
        <v>376.34000000000003</v>
      </c>
      <c r="K62" s="1091">
        <f t="shared" ref="K62:M62" si="29">K60+K61</f>
        <v>445.54</v>
      </c>
      <c r="L62" s="1091">
        <f>L60+L61</f>
        <v>445.54</v>
      </c>
      <c r="M62" s="1059">
        <f t="shared" si="29"/>
        <v>445.54</v>
      </c>
      <c r="N62" s="2895"/>
      <c r="O62" s="2396"/>
      <c r="P62" s="2345"/>
      <c r="Q62" s="2911"/>
      <c r="R62" s="2911"/>
      <c r="S62" s="2916"/>
      <c r="T62" s="2916"/>
      <c r="U62" s="2916"/>
      <c r="V62" s="2345"/>
      <c r="Y62" s="84"/>
      <c r="Z62" s="84"/>
    </row>
    <row r="63" spans="1:26" s="88" customFormat="1" ht="20.100000000000001" hidden="1" customHeight="1">
      <c r="A63" s="1548"/>
      <c r="B63" s="1549" t="s">
        <v>1437</v>
      </c>
      <c r="C63" s="1550"/>
      <c r="D63" s="1551"/>
      <c r="E63" s="1552">
        <v>20</v>
      </c>
      <c r="F63" s="1552"/>
      <c r="G63" s="1552">
        <v>27.19</v>
      </c>
      <c r="H63" s="1553">
        <v>25.86</v>
      </c>
      <c r="I63" s="1554"/>
      <c r="J63" s="1555">
        <v>32.052</v>
      </c>
      <c r="K63" s="1554">
        <v>32</v>
      </c>
      <c r="L63" s="1554">
        <v>32</v>
      </c>
      <c r="M63" s="1554">
        <v>32</v>
      </c>
      <c r="N63" s="1687"/>
      <c r="O63" s="1556"/>
      <c r="P63" s="1554"/>
      <c r="Q63" s="2937" t="s">
        <v>3570</v>
      </c>
      <c r="R63" s="1554"/>
      <c r="S63" s="1557">
        <v>63</v>
      </c>
      <c r="T63" s="1554"/>
      <c r="U63" s="1554"/>
      <c r="V63" s="2345"/>
    </row>
    <row r="64" spans="1:26" s="88" customFormat="1" ht="20.100000000000001" hidden="1" customHeight="1">
      <c r="A64" s="1548"/>
      <c r="B64" s="1549" t="s">
        <v>1438</v>
      </c>
      <c r="C64" s="1550"/>
      <c r="D64" s="1551"/>
      <c r="E64" s="1552">
        <v>67</v>
      </c>
      <c r="F64" s="1552"/>
      <c r="G64" s="1552">
        <v>79.613</v>
      </c>
      <c r="H64" s="1553">
        <v>66</v>
      </c>
      <c r="I64" s="1554"/>
      <c r="J64" s="1555">
        <v>63.938000000000002</v>
      </c>
      <c r="K64" s="1554">
        <v>76</v>
      </c>
      <c r="L64" s="1554">
        <v>76</v>
      </c>
      <c r="M64" s="1554">
        <v>76</v>
      </c>
      <c r="N64" s="1687"/>
      <c r="O64" s="1556"/>
      <c r="P64" s="1554"/>
      <c r="Q64" s="2938"/>
      <c r="R64" s="1554"/>
      <c r="S64" s="1557">
        <v>152</v>
      </c>
      <c r="T64" s="1554"/>
      <c r="U64" s="1554"/>
      <c r="V64" s="2345"/>
    </row>
    <row r="65" spans="1:26" s="88" customFormat="1" ht="20.100000000000001" hidden="1" customHeight="1">
      <c r="A65" s="1548"/>
      <c r="B65" s="1549" t="s">
        <v>1439</v>
      </c>
      <c r="C65" s="1550"/>
      <c r="D65" s="1551"/>
      <c r="E65" s="1552">
        <v>108.83</v>
      </c>
      <c r="F65" s="1552"/>
      <c r="G65" s="1552">
        <v>86.5</v>
      </c>
      <c r="H65" s="1553">
        <v>106</v>
      </c>
      <c r="I65" s="1554"/>
      <c r="J65" s="1555">
        <v>107.5</v>
      </c>
      <c r="K65" s="1554">
        <v>110</v>
      </c>
      <c r="L65" s="1554">
        <v>110</v>
      </c>
      <c r="M65" s="1554">
        <v>110</v>
      </c>
      <c r="N65" s="1687"/>
      <c r="O65" s="1556"/>
      <c r="P65" s="1554"/>
      <c r="Q65" s="2938"/>
      <c r="R65" s="1554"/>
      <c r="S65" s="1557">
        <v>245</v>
      </c>
      <c r="T65" s="1554"/>
      <c r="U65" s="1554"/>
      <c r="V65" s="2345"/>
    </row>
    <row r="66" spans="1:26" s="88" customFormat="1" ht="20.100000000000001" hidden="1" customHeight="1">
      <c r="A66" s="1548"/>
      <c r="B66" s="1549" t="s">
        <v>1440</v>
      </c>
      <c r="C66" s="1550"/>
      <c r="D66" s="1551"/>
      <c r="E66" s="1552">
        <v>65</v>
      </c>
      <c r="F66" s="1552"/>
      <c r="G66" s="1552">
        <v>65</v>
      </c>
      <c r="H66" s="1553">
        <v>75</v>
      </c>
      <c r="I66" s="1554"/>
      <c r="J66" s="1555">
        <v>77</v>
      </c>
      <c r="K66" s="1554">
        <v>100</v>
      </c>
      <c r="L66" s="1554">
        <v>100</v>
      </c>
      <c r="M66" s="1554">
        <v>100</v>
      </c>
      <c r="N66" s="1687"/>
      <c r="O66" s="1556"/>
      <c r="P66" s="1554"/>
      <c r="Q66" s="2938"/>
      <c r="R66" s="1554"/>
      <c r="S66" s="1557">
        <v>190</v>
      </c>
      <c r="T66" s="1554"/>
      <c r="U66" s="1554"/>
      <c r="V66" s="2345"/>
    </row>
    <row r="67" spans="1:26" s="88" customFormat="1" ht="20.100000000000001" hidden="1" customHeight="1">
      <c r="A67" s="1548"/>
      <c r="B67" s="1549" t="s">
        <v>1441</v>
      </c>
      <c r="C67" s="1550"/>
      <c r="D67" s="1551"/>
      <c r="E67" s="1552">
        <v>42</v>
      </c>
      <c r="F67" s="1552"/>
      <c r="G67" s="1552">
        <v>42</v>
      </c>
      <c r="H67" s="1553">
        <v>49</v>
      </c>
      <c r="I67" s="1554"/>
      <c r="J67" s="1555">
        <v>52</v>
      </c>
      <c r="K67" s="1554">
        <v>62</v>
      </c>
      <c r="L67" s="1554">
        <v>62</v>
      </c>
      <c r="M67" s="1554">
        <v>62</v>
      </c>
      <c r="N67" s="1687"/>
      <c r="O67" s="1556"/>
      <c r="P67" s="1554"/>
      <c r="Q67" s="2938"/>
      <c r="R67" s="1554"/>
      <c r="S67" s="1557">
        <v>132</v>
      </c>
      <c r="T67" s="1554"/>
      <c r="U67" s="1554"/>
      <c r="V67" s="2345"/>
    </row>
    <row r="68" spans="1:26" s="88" customFormat="1" ht="20.100000000000001" hidden="1" customHeight="1">
      <c r="A68" s="1548"/>
      <c r="B68" s="1549" t="s">
        <v>1442</v>
      </c>
      <c r="C68" s="1550"/>
      <c r="D68" s="1551"/>
      <c r="E68" s="1558">
        <v>13</v>
      </c>
      <c r="F68" s="1552"/>
      <c r="G68" s="1552">
        <v>13</v>
      </c>
      <c r="H68" s="1553">
        <v>16</v>
      </c>
      <c r="I68" s="1554"/>
      <c r="J68" s="1555">
        <v>14</v>
      </c>
      <c r="K68" s="1554">
        <v>19</v>
      </c>
      <c r="L68" s="1554">
        <v>19</v>
      </c>
      <c r="M68" s="1554">
        <v>19</v>
      </c>
      <c r="N68" s="1687"/>
      <c r="O68" s="1556"/>
      <c r="P68" s="1556"/>
      <c r="Q68" s="2938"/>
      <c r="R68" s="1554"/>
      <c r="S68" s="1557">
        <v>45</v>
      </c>
      <c r="T68" s="1554"/>
      <c r="U68" s="1554"/>
      <c r="V68" s="2345"/>
    </row>
    <row r="69" spans="1:26" s="88" customFormat="1" ht="20.100000000000001" hidden="1" customHeight="1">
      <c r="A69" s="1548"/>
      <c r="B69" s="2940" t="s">
        <v>1443</v>
      </c>
      <c r="C69" s="1550"/>
      <c r="D69" s="1551" t="s">
        <v>1448</v>
      </c>
      <c r="E69" s="1552">
        <v>5</v>
      </c>
      <c r="F69" s="1552"/>
      <c r="G69" s="1552">
        <v>11.5</v>
      </c>
      <c r="H69" s="1553">
        <v>6.7</v>
      </c>
      <c r="I69" s="1554"/>
      <c r="J69" s="1555"/>
      <c r="K69" s="1554">
        <v>8</v>
      </c>
      <c r="L69" s="1554">
        <v>8</v>
      </c>
      <c r="M69" s="1554">
        <v>8</v>
      </c>
      <c r="N69" s="1687"/>
      <c r="O69" s="1556"/>
      <c r="P69" s="1554"/>
      <c r="Q69" s="2938"/>
      <c r="R69" s="1554"/>
      <c r="S69" s="1557"/>
      <c r="T69" s="1554"/>
      <c r="U69" s="1554"/>
      <c r="V69" s="2345"/>
    </row>
    <row r="70" spans="1:26" s="88" customFormat="1" ht="20.100000000000001" hidden="1" customHeight="1">
      <c r="A70" s="1548"/>
      <c r="B70" s="2941"/>
      <c r="C70" s="1550"/>
      <c r="D70" s="1551" t="s">
        <v>1122</v>
      </c>
      <c r="E70" s="1552"/>
      <c r="F70" s="1552"/>
      <c r="G70" s="1552"/>
      <c r="H70" s="1553">
        <v>0.55200000000000005</v>
      </c>
      <c r="I70" s="1554"/>
      <c r="J70" s="1555"/>
      <c r="K70" s="1552"/>
      <c r="L70" s="1552"/>
      <c r="M70" s="1552"/>
      <c r="N70" s="1687"/>
      <c r="O70" s="1556"/>
      <c r="P70" s="1554"/>
      <c r="Q70" s="2938"/>
      <c r="R70" s="1554"/>
      <c r="S70" s="1557"/>
      <c r="T70" s="1554"/>
      <c r="U70" s="1554"/>
      <c r="V70" s="2345"/>
    </row>
    <row r="71" spans="1:26" s="88" customFormat="1" ht="20.100000000000001" hidden="1" customHeight="1">
      <c r="A71" s="1548"/>
      <c r="B71" s="1549" t="s">
        <v>1444</v>
      </c>
      <c r="C71" s="1550"/>
      <c r="D71" s="1551"/>
      <c r="E71" s="1552">
        <v>11</v>
      </c>
      <c r="F71" s="1552"/>
      <c r="G71" s="1552">
        <v>10.5</v>
      </c>
      <c r="H71" s="1553">
        <v>12</v>
      </c>
      <c r="I71" s="1554"/>
      <c r="J71" s="1555">
        <v>6.3</v>
      </c>
      <c r="K71" s="1554">
        <v>9</v>
      </c>
      <c r="L71" s="1554">
        <v>9</v>
      </c>
      <c r="M71" s="1554">
        <v>9</v>
      </c>
      <c r="N71" s="1687"/>
      <c r="O71" s="1556"/>
      <c r="P71" s="1554"/>
      <c r="Q71" s="2938"/>
      <c r="R71" s="1554"/>
      <c r="S71" s="1557">
        <v>17</v>
      </c>
      <c r="T71" s="1554"/>
      <c r="U71" s="1554"/>
      <c r="V71" s="2345"/>
    </row>
    <row r="72" spans="1:26" s="88" customFormat="1" ht="20.100000000000001" hidden="1" customHeight="1">
      <c r="A72" s="1548"/>
      <c r="B72" s="1549" t="s">
        <v>1445</v>
      </c>
      <c r="C72" s="1550"/>
      <c r="D72" s="1551"/>
      <c r="E72" s="1552">
        <v>11</v>
      </c>
      <c r="F72" s="1552"/>
      <c r="G72" s="1552">
        <v>11.7</v>
      </c>
      <c r="H72" s="1553">
        <v>12</v>
      </c>
      <c r="I72" s="1554"/>
      <c r="J72" s="1555">
        <v>11.55</v>
      </c>
      <c r="K72" s="1554">
        <v>15.54</v>
      </c>
      <c r="L72" s="1554">
        <v>15.54</v>
      </c>
      <c r="M72" s="1554">
        <v>15.54</v>
      </c>
      <c r="N72" s="1687"/>
      <c r="O72" s="1556"/>
      <c r="P72" s="1554"/>
      <c r="Q72" s="2938"/>
      <c r="R72" s="1554"/>
      <c r="S72" s="1557">
        <v>40</v>
      </c>
      <c r="T72" s="1554"/>
      <c r="U72" s="1554"/>
      <c r="V72" s="2345"/>
    </row>
    <row r="73" spans="1:26" s="88" customFormat="1" ht="29.25" hidden="1" customHeight="1">
      <c r="A73" s="1548"/>
      <c r="B73" s="1559" t="s">
        <v>1446</v>
      </c>
      <c r="C73" s="1550"/>
      <c r="D73" s="1551"/>
      <c r="E73" s="1552">
        <v>12</v>
      </c>
      <c r="F73" s="1552"/>
      <c r="G73" s="1552">
        <v>12.416</v>
      </c>
      <c r="H73" s="1553">
        <v>12</v>
      </c>
      <c r="I73" s="1554"/>
      <c r="J73" s="1555">
        <v>12</v>
      </c>
      <c r="K73" s="1554">
        <v>14</v>
      </c>
      <c r="L73" s="1554">
        <v>14</v>
      </c>
      <c r="M73" s="1554">
        <v>14</v>
      </c>
      <c r="N73" s="1687"/>
      <c r="O73" s="1556"/>
      <c r="P73" s="1554"/>
      <c r="Q73" s="2939"/>
      <c r="R73" s="1554"/>
      <c r="S73" s="1557">
        <v>40</v>
      </c>
      <c r="T73" s="1554"/>
      <c r="U73" s="1554"/>
      <c r="V73" s="2345"/>
    </row>
    <row r="74" spans="1:26" ht="30.75" customHeight="1">
      <c r="A74" s="2888" t="s">
        <v>2119</v>
      </c>
      <c r="B74" s="2575" t="s">
        <v>1231</v>
      </c>
      <c r="C74" s="2881" t="s">
        <v>1080</v>
      </c>
      <c r="D74" s="1082" t="s">
        <v>1448</v>
      </c>
      <c r="E74" s="1527">
        <f>SUM(E77:E87)</f>
        <v>54.879999999999995</v>
      </c>
      <c r="F74" s="1534">
        <f>H74/E74-1</f>
        <v>0.1024052478134112</v>
      </c>
      <c r="G74" s="1527">
        <f t="shared" ref="G74:H74" si="30">SUM(G77:G87)</f>
        <v>4.5939999999999994</v>
      </c>
      <c r="H74" s="1090">
        <f t="shared" si="30"/>
        <v>60.5</v>
      </c>
      <c r="I74" s="1054">
        <f t="shared" ref="I74:I76" si="31">K74/H74-1</f>
        <v>0.15702479338842967</v>
      </c>
      <c r="J74" s="1527">
        <f>SUM(J77,J78,J79,J80,J81,J82,J83,J84,J85,J86,J87,)</f>
        <v>3.5400000000000009</v>
      </c>
      <c r="K74" s="1535">
        <f t="shared" ref="K74:M74" si="32">SUM(K77,K78,K79,K80,K81,K82,K83,K84,K85,K86,K87,)</f>
        <v>70</v>
      </c>
      <c r="L74" s="1535">
        <f t="shared" si="32"/>
        <v>70</v>
      </c>
      <c r="M74" s="1535">
        <f t="shared" si="32"/>
        <v>70</v>
      </c>
      <c r="N74" s="2894" t="s">
        <v>2346</v>
      </c>
      <c r="O74" s="2395" t="s">
        <v>1791</v>
      </c>
      <c r="P74" s="2910" t="s">
        <v>1497</v>
      </c>
      <c r="Q74" s="2910" t="s">
        <v>1460</v>
      </c>
      <c r="R74" s="2910" t="s">
        <v>1461</v>
      </c>
      <c r="S74" s="2916" t="s">
        <v>2586</v>
      </c>
      <c r="T74" s="2916" t="s">
        <v>2586</v>
      </c>
      <c r="U74" s="2910" t="s">
        <v>2586</v>
      </c>
      <c r="V74" s="2345"/>
      <c r="Y74" s="84"/>
      <c r="Z74" s="84"/>
    </row>
    <row r="75" spans="1:26" ht="30.75" customHeight="1">
      <c r="A75" s="2898"/>
      <c r="B75" s="2902"/>
      <c r="C75" s="2882"/>
      <c r="D75" s="1082" t="s">
        <v>471</v>
      </c>
      <c r="E75" s="1527"/>
      <c r="F75" s="1534"/>
      <c r="G75" s="1527"/>
      <c r="H75" s="1090"/>
      <c r="I75" s="1054"/>
      <c r="J75" s="1527"/>
      <c r="K75" s="1053"/>
      <c r="L75" s="1053"/>
      <c r="M75" s="1053"/>
      <c r="N75" s="2907"/>
      <c r="O75" s="2396"/>
      <c r="P75" s="2911"/>
      <c r="Q75" s="2911"/>
      <c r="R75" s="2911"/>
      <c r="S75" s="2916"/>
      <c r="T75" s="2916"/>
      <c r="U75" s="2911"/>
      <c r="V75" s="2345"/>
      <c r="Y75" s="84"/>
      <c r="Z75" s="84"/>
    </row>
    <row r="76" spans="1:26" ht="27" customHeight="1">
      <c r="A76" s="2898"/>
      <c r="B76" s="2902"/>
      <c r="C76" s="2882"/>
      <c r="D76" s="1083" t="s">
        <v>1076</v>
      </c>
      <c r="E76" s="1513">
        <f>E74</f>
        <v>54.879999999999995</v>
      </c>
      <c r="F76" s="1514">
        <f t="shared" ref="F76" si="33">H76/E76-1</f>
        <v>0.1024052478134112</v>
      </c>
      <c r="G76" s="1513">
        <f t="shared" ref="G76:H76" si="34">G74</f>
        <v>4.5939999999999994</v>
      </c>
      <c r="H76" s="1091">
        <f t="shared" si="34"/>
        <v>60.5</v>
      </c>
      <c r="I76" s="1060">
        <f t="shared" si="31"/>
        <v>0.15702479338842967</v>
      </c>
      <c r="J76" s="1513">
        <f>SUM(J74,J75,)</f>
        <v>3.5400000000000009</v>
      </c>
      <c r="K76" s="1560">
        <f t="shared" ref="K76:M76" si="35">SUM(K74,K75,)</f>
        <v>70</v>
      </c>
      <c r="L76" s="1560">
        <f t="shared" si="35"/>
        <v>70</v>
      </c>
      <c r="M76" s="1560">
        <f t="shared" si="35"/>
        <v>70</v>
      </c>
      <c r="N76" s="2895"/>
      <c r="O76" s="2396"/>
      <c r="P76" s="2912"/>
      <c r="Q76" s="2911"/>
      <c r="R76" s="2911"/>
      <c r="S76" s="2916"/>
      <c r="T76" s="2916"/>
      <c r="U76" s="2912"/>
      <c r="V76" s="2345"/>
      <c r="Y76" s="84"/>
      <c r="Z76" s="84"/>
    </row>
    <row r="77" spans="1:26" s="88" customFormat="1" ht="20.100000000000001" hidden="1" customHeight="1">
      <c r="A77" s="1561"/>
      <c r="B77" s="1562" t="s">
        <v>1437</v>
      </c>
      <c r="C77" s="1563"/>
      <c r="D77" s="1564"/>
      <c r="E77" s="1555">
        <v>0.39200000000000002</v>
      </c>
      <c r="F77" s="1555"/>
      <c r="G77" s="1555"/>
      <c r="H77" s="1565">
        <v>0.22</v>
      </c>
      <c r="I77" s="1566"/>
      <c r="J77" s="1555"/>
      <c r="K77" s="1566">
        <v>0.28000000000000003</v>
      </c>
      <c r="L77" s="1566">
        <v>0.28000000000000003</v>
      </c>
      <c r="M77" s="1566">
        <v>0.28000000000000003</v>
      </c>
      <c r="N77" s="1688"/>
      <c r="O77" s="1567"/>
      <c r="P77" s="1566"/>
      <c r="Q77" s="2934" t="s">
        <v>3571</v>
      </c>
      <c r="R77" s="1566"/>
      <c r="S77" s="1568"/>
      <c r="T77" s="1566"/>
      <c r="U77" s="1566"/>
      <c r="V77" s="2345"/>
    </row>
    <row r="78" spans="1:26" s="88" customFormat="1" ht="20.100000000000001" hidden="1" customHeight="1">
      <c r="A78" s="1561"/>
      <c r="B78" s="1562" t="s">
        <v>1438</v>
      </c>
      <c r="C78" s="1563"/>
      <c r="D78" s="1564"/>
      <c r="E78" s="1555">
        <v>0.88200000000000001</v>
      </c>
      <c r="F78" s="1555"/>
      <c r="G78" s="1555">
        <v>0.78400000000000003</v>
      </c>
      <c r="H78" s="1565">
        <v>0.33</v>
      </c>
      <c r="I78" s="1566"/>
      <c r="J78" s="1555">
        <v>0.33</v>
      </c>
      <c r="K78" s="1566">
        <v>0.7</v>
      </c>
      <c r="L78" s="1566">
        <v>0.7</v>
      </c>
      <c r="M78" s="1566">
        <v>0.7</v>
      </c>
      <c r="N78" s="1688"/>
      <c r="O78" s="1567"/>
      <c r="P78" s="1566"/>
      <c r="Q78" s="2935"/>
      <c r="R78" s="1566"/>
      <c r="S78" s="1568">
        <v>4</v>
      </c>
      <c r="T78" s="1566"/>
      <c r="U78" s="1566"/>
      <c r="V78" s="2345"/>
    </row>
    <row r="79" spans="1:26" s="88" customFormat="1" ht="20.100000000000001" hidden="1" customHeight="1">
      <c r="A79" s="1561"/>
      <c r="B79" s="1562" t="s">
        <v>1439</v>
      </c>
      <c r="C79" s="1563"/>
      <c r="D79" s="1564"/>
      <c r="E79" s="1555">
        <v>1.47</v>
      </c>
      <c r="F79" s="1555"/>
      <c r="G79" s="1555">
        <v>1.47</v>
      </c>
      <c r="H79" s="1565">
        <v>0.55000000000000004</v>
      </c>
      <c r="I79" s="1566"/>
      <c r="J79" s="1555">
        <v>1.47</v>
      </c>
      <c r="K79" s="1566">
        <v>1.4</v>
      </c>
      <c r="L79" s="1566">
        <v>1.4</v>
      </c>
      <c r="M79" s="1566">
        <v>1.4</v>
      </c>
      <c r="N79" s="1688"/>
      <c r="O79" s="1567"/>
      <c r="P79" s="1566"/>
      <c r="Q79" s="2935"/>
      <c r="R79" s="1566"/>
      <c r="S79" s="1568">
        <v>13</v>
      </c>
      <c r="T79" s="1566"/>
      <c r="U79" s="1566"/>
      <c r="V79" s="2345"/>
    </row>
    <row r="80" spans="1:26" s="88" customFormat="1" ht="20.100000000000001" hidden="1" customHeight="1">
      <c r="A80" s="1561"/>
      <c r="B80" s="1562" t="s">
        <v>1440</v>
      </c>
      <c r="C80" s="1563"/>
      <c r="D80" s="1564"/>
      <c r="E80" s="1555">
        <v>0.68600000000000005</v>
      </c>
      <c r="F80" s="1555"/>
      <c r="G80" s="1555">
        <v>0.68600000000000005</v>
      </c>
      <c r="H80" s="1565">
        <v>0.55000000000000004</v>
      </c>
      <c r="I80" s="1566"/>
      <c r="J80" s="1555">
        <v>0.33</v>
      </c>
      <c r="K80" s="1566">
        <v>0.56000000000000005</v>
      </c>
      <c r="L80" s="1566">
        <v>0.56000000000000005</v>
      </c>
      <c r="M80" s="1566">
        <v>0.56000000000000005</v>
      </c>
      <c r="N80" s="1688"/>
      <c r="O80" s="1567"/>
      <c r="P80" s="1566"/>
      <c r="Q80" s="2935"/>
      <c r="R80" s="1566"/>
      <c r="S80" s="1568">
        <v>3</v>
      </c>
      <c r="T80" s="1566"/>
      <c r="U80" s="1566"/>
      <c r="V80" s="2345"/>
    </row>
    <row r="81" spans="1:26" s="88" customFormat="1" ht="20.100000000000001" hidden="1" customHeight="1">
      <c r="A81" s="1561"/>
      <c r="B81" s="1562" t="s">
        <v>1441</v>
      </c>
      <c r="C81" s="1563"/>
      <c r="D81" s="1564"/>
      <c r="E81" s="1555">
        <v>0.49</v>
      </c>
      <c r="F81" s="1555"/>
      <c r="G81" s="1555">
        <v>0.49</v>
      </c>
      <c r="H81" s="1565">
        <v>0.33</v>
      </c>
      <c r="I81" s="1566"/>
      <c r="J81" s="1555">
        <v>0.33</v>
      </c>
      <c r="K81" s="1566">
        <v>0.42</v>
      </c>
      <c r="L81" s="1566">
        <v>0.42</v>
      </c>
      <c r="M81" s="1566">
        <v>0.42</v>
      </c>
      <c r="N81" s="1688"/>
      <c r="O81" s="1567"/>
      <c r="P81" s="1566"/>
      <c r="Q81" s="2935"/>
      <c r="R81" s="1566"/>
      <c r="S81" s="1568">
        <v>3</v>
      </c>
      <c r="T81" s="1566"/>
      <c r="U81" s="1566"/>
      <c r="V81" s="2345"/>
    </row>
    <row r="82" spans="1:26" s="88" customFormat="1" ht="20.100000000000001" hidden="1" customHeight="1">
      <c r="A82" s="1561"/>
      <c r="B82" s="1562" t="s">
        <v>1442</v>
      </c>
      <c r="C82" s="1563"/>
      <c r="D82" s="1564"/>
      <c r="E82" s="1569">
        <v>0.19600000000000001</v>
      </c>
      <c r="F82" s="1555"/>
      <c r="G82" s="1569">
        <v>0.19600000000000001</v>
      </c>
      <c r="H82" s="1565">
        <v>0.22</v>
      </c>
      <c r="I82" s="1566"/>
      <c r="J82" s="1555">
        <v>0.2</v>
      </c>
      <c r="K82" s="1566">
        <v>0.14000000000000001</v>
      </c>
      <c r="L82" s="1566">
        <v>0.14000000000000001</v>
      </c>
      <c r="M82" s="1566">
        <v>0.14000000000000001</v>
      </c>
      <c r="N82" s="1689"/>
      <c r="O82" s="1567"/>
      <c r="P82" s="1567"/>
      <c r="Q82" s="2935"/>
      <c r="R82" s="1566"/>
      <c r="S82" s="1568">
        <v>4</v>
      </c>
      <c r="T82" s="1566"/>
      <c r="U82" s="1566"/>
      <c r="V82" s="2345"/>
    </row>
    <row r="83" spans="1:26" s="88" customFormat="1" ht="20.100000000000001" hidden="1" customHeight="1">
      <c r="A83" s="1561"/>
      <c r="B83" s="1562" t="s">
        <v>1443</v>
      </c>
      <c r="C83" s="1563"/>
      <c r="D83" s="1564"/>
      <c r="E83" s="1555">
        <v>0.19600000000000001</v>
      </c>
      <c r="F83" s="1555"/>
      <c r="G83" s="1555">
        <v>0.39200000000000002</v>
      </c>
      <c r="H83" s="1565">
        <v>0.22</v>
      </c>
      <c r="I83" s="1566"/>
      <c r="J83" s="1570">
        <v>0.22</v>
      </c>
      <c r="K83" s="1566">
        <v>0.14000000000000001</v>
      </c>
      <c r="L83" s="1566">
        <v>0.14000000000000001</v>
      </c>
      <c r="M83" s="1566">
        <v>0.14000000000000001</v>
      </c>
      <c r="N83" s="1688"/>
      <c r="O83" s="1567"/>
      <c r="P83" s="1566"/>
      <c r="Q83" s="2935"/>
      <c r="R83" s="1566"/>
      <c r="S83" s="1568"/>
      <c r="T83" s="1566"/>
      <c r="U83" s="1566"/>
      <c r="V83" s="2345"/>
    </row>
    <row r="84" spans="1:26" s="88" customFormat="1" ht="20.100000000000001" hidden="1" customHeight="1">
      <c r="A84" s="1561"/>
      <c r="B84" s="1562" t="s">
        <v>1444</v>
      </c>
      <c r="C84" s="1563"/>
      <c r="D84" s="1564"/>
      <c r="E84" s="1555">
        <v>0.19600000000000001</v>
      </c>
      <c r="F84" s="1555"/>
      <c r="G84" s="1555">
        <v>0.19600000000000001</v>
      </c>
      <c r="H84" s="1565">
        <v>0.22</v>
      </c>
      <c r="I84" s="1566"/>
      <c r="J84" s="1555">
        <v>0.22</v>
      </c>
      <c r="K84" s="1566">
        <v>0.28000000000000003</v>
      </c>
      <c r="L84" s="1566">
        <v>0.28000000000000003</v>
      </c>
      <c r="M84" s="1566">
        <v>0.28000000000000003</v>
      </c>
      <c r="N84" s="1688"/>
      <c r="O84" s="1567"/>
      <c r="P84" s="1566"/>
      <c r="Q84" s="2935"/>
      <c r="R84" s="1566"/>
      <c r="S84" s="1568">
        <v>2</v>
      </c>
      <c r="T84" s="1566"/>
      <c r="U84" s="1566"/>
      <c r="V84" s="2345"/>
    </row>
    <row r="85" spans="1:26" s="88" customFormat="1" ht="20.100000000000001" hidden="1" customHeight="1">
      <c r="A85" s="1561"/>
      <c r="B85" s="1562" t="s">
        <v>1445</v>
      </c>
      <c r="C85" s="1563"/>
      <c r="D85" s="1564"/>
      <c r="E85" s="1555">
        <v>0.19600000000000001</v>
      </c>
      <c r="F85" s="1555"/>
      <c r="G85" s="1555">
        <v>0.184</v>
      </c>
      <c r="H85" s="1565">
        <v>0.22</v>
      </c>
      <c r="I85" s="1566"/>
      <c r="J85" s="1555">
        <v>0.22</v>
      </c>
      <c r="K85" s="1566">
        <v>0.14000000000000001</v>
      </c>
      <c r="L85" s="1566">
        <v>0.14000000000000001</v>
      </c>
      <c r="M85" s="1566">
        <v>0.14000000000000001</v>
      </c>
      <c r="N85" s="1688"/>
      <c r="O85" s="1567"/>
      <c r="P85" s="1566"/>
      <c r="Q85" s="2935"/>
      <c r="R85" s="1566"/>
      <c r="S85" s="1568">
        <v>3</v>
      </c>
      <c r="T85" s="1566"/>
      <c r="U85" s="1566"/>
      <c r="V85" s="2345"/>
    </row>
    <row r="86" spans="1:26" s="88" customFormat="1" ht="30.6" hidden="1" customHeight="1">
      <c r="A86" s="1561"/>
      <c r="B86" s="1571" t="s">
        <v>1446</v>
      </c>
      <c r="C86" s="1563"/>
      <c r="D86" s="1564"/>
      <c r="E86" s="1555">
        <v>0.19600000000000001</v>
      </c>
      <c r="F86" s="1555"/>
      <c r="G86" s="1555">
        <v>0.19600000000000001</v>
      </c>
      <c r="H86" s="1565">
        <v>0.22</v>
      </c>
      <c r="I86" s="1566"/>
      <c r="J86" s="1555">
        <v>0.22</v>
      </c>
      <c r="K86" s="1566">
        <v>0.14000000000000001</v>
      </c>
      <c r="L86" s="1566">
        <v>0.14000000000000001</v>
      </c>
      <c r="M86" s="1566">
        <v>0.14000000000000001</v>
      </c>
      <c r="N86" s="1688"/>
      <c r="O86" s="1567"/>
      <c r="P86" s="1566"/>
      <c r="Q86" s="2935"/>
      <c r="R86" s="1566"/>
      <c r="S86" s="1568">
        <v>2</v>
      </c>
      <c r="T86" s="1566"/>
      <c r="U86" s="1566"/>
      <c r="V86" s="2345"/>
    </row>
    <row r="87" spans="1:26" s="88" customFormat="1" ht="20.100000000000001" hidden="1" customHeight="1">
      <c r="A87" s="1561"/>
      <c r="B87" s="1571" t="s">
        <v>1390</v>
      </c>
      <c r="C87" s="1561"/>
      <c r="D87" s="1561"/>
      <c r="E87" s="1555">
        <v>49.98</v>
      </c>
      <c r="F87" s="1555"/>
      <c r="G87" s="1555"/>
      <c r="H87" s="1565">
        <v>57.42</v>
      </c>
      <c r="I87" s="1566"/>
      <c r="J87" s="1555"/>
      <c r="K87" s="1566">
        <v>65.8</v>
      </c>
      <c r="L87" s="1566">
        <v>65.8</v>
      </c>
      <c r="M87" s="1566">
        <v>65.8</v>
      </c>
      <c r="N87" s="1690"/>
      <c r="O87" s="1567"/>
      <c r="P87" s="1572"/>
      <c r="Q87" s="2936"/>
      <c r="R87" s="1572"/>
      <c r="S87" s="1566"/>
      <c r="T87" s="1566"/>
      <c r="U87" s="1566"/>
      <c r="V87" s="2345"/>
    </row>
    <row r="88" spans="1:26" ht="26.25" customHeight="1">
      <c r="A88" s="2746" t="s">
        <v>2120</v>
      </c>
      <c r="B88" s="2574" t="s">
        <v>1232</v>
      </c>
      <c r="C88" s="2897" t="s">
        <v>1080</v>
      </c>
      <c r="D88" s="1098" t="s">
        <v>1448</v>
      </c>
      <c r="E88" s="1510">
        <f>SUM(E90:E92)</f>
        <v>436.90000000000003</v>
      </c>
      <c r="F88" s="1526">
        <f>H88/E88-1</f>
        <v>1.1688487067978941</v>
      </c>
      <c r="G88" s="1510">
        <f t="shared" ref="G88:H88" si="36">SUM(G90:G92)</f>
        <v>921.48599999999999</v>
      </c>
      <c r="H88" s="1117">
        <f t="shared" si="36"/>
        <v>947.56999999999994</v>
      </c>
      <c r="I88" s="1054">
        <f t="shared" ref="I88:I89" si="37">K88/H88-1</f>
        <v>-0.21377840159566053</v>
      </c>
      <c r="J88" s="1527">
        <v>1548.36</v>
      </c>
      <c r="K88" s="1053">
        <f>K90+K91+K92</f>
        <v>744.99999999999989</v>
      </c>
      <c r="L88" s="1053">
        <f t="shared" ref="L88:M88" si="38">L90+L91+L92</f>
        <v>744.99999999999989</v>
      </c>
      <c r="M88" s="1053">
        <f t="shared" si="38"/>
        <v>744.99999999999989</v>
      </c>
      <c r="N88" s="2883" t="s">
        <v>2401</v>
      </c>
      <c r="O88" s="2395" t="s">
        <v>1792</v>
      </c>
      <c r="P88" s="2910" t="s">
        <v>1498</v>
      </c>
      <c r="Q88" s="2910" t="s">
        <v>1462</v>
      </c>
      <c r="R88" s="2910" t="s">
        <v>1793</v>
      </c>
      <c r="S88" s="2916" t="s">
        <v>3393</v>
      </c>
      <c r="T88" s="2916" t="s">
        <v>3394</v>
      </c>
      <c r="U88" s="2910" t="s">
        <v>3394</v>
      </c>
      <c r="V88" s="2345"/>
      <c r="Y88" s="84"/>
      <c r="Z88" s="84"/>
    </row>
    <row r="89" spans="1:26" ht="27.75" customHeight="1">
      <c r="A89" s="2727"/>
      <c r="B89" s="2575"/>
      <c r="C89" s="2881"/>
      <c r="D89" s="1083" t="s">
        <v>1076</v>
      </c>
      <c r="E89" s="1513">
        <f>E88</f>
        <v>436.90000000000003</v>
      </c>
      <c r="F89" s="1514">
        <f t="shared" ref="F89:M89" si="39">F88</f>
        <v>1.1688487067978941</v>
      </c>
      <c r="G89" s="1513">
        <f t="shared" si="39"/>
        <v>921.48599999999999</v>
      </c>
      <c r="H89" s="1091">
        <f t="shared" si="39"/>
        <v>947.56999999999994</v>
      </c>
      <c r="I89" s="1060">
        <f t="shared" si="37"/>
        <v>-0.21377840159566053</v>
      </c>
      <c r="J89" s="1531">
        <f t="shared" si="39"/>
        <v>1548.36</v>
      </c>
      <c r="K89" s="1091">
        <f t="shared" si="39"/>
        <v>744.99999999999989</v>
      </c>
      <c r="L89" s="1091">
        <f t="shared" si="39"/>
        <v>744.99999999999989</v>
      </c>
      <c r="M89" s="1059">
        <f t="shared" si="39"/>
        <v>744.99999999999989</v>
      </c>
      <c r="N89" s="2883"/>
      <c r="O89" s="2396"/>
      <c r="P89" s="2911"/>
      <c r="Q89" s="2911"/>
      <c r="R89" s="2911"/>
      <c r="S89" s="2916"/>
      <c r="T89" s="2916"/>
      <c r="U89" s="2912"/>
      <c r="V89" s="2344"/>
      <c r="Y89" s="84"/>
      <c r="Z89" s="84"/>
    </row>
    <row r="90" spans="1:26" ht="20.100000000000001" hidden="1" customHeight="1">
      <c r="A90" s="1416"/>
      <c r="B90" s="1537" t="s">
        <v>339</v>
      </c>
      <c r="C90" s="1538"/>
      <c r="D90" s="1431"/>
      <c r="E90" s="1068">
        <v>357</v>
      </c>
      <c r="F90" s="1068"/>
      <c r="G90" s="1068">
        <v>815.83600000000001</v>
      </c>
      <c r="H90" s="1123">
        <v>763</v>
      </c>
      <c r="I90" s="989"/>
      <c r="J90" s="1518"/>
      <c r="K90" s="989">
        <v>579.4</v>
      </c>
      <c r="L90" s="989">
        <v>579.4</v>
      </c>
      <c r="M90" s="989">
        <v>579.4</v>
      </c>
      <c r="N90" s="1691"/>
      <c r="O90" s="989"/>
      <c r="P90" s="1011"/>
      <c r="Q90" s="1011"/>
      <c r="R90" s="1011" t="s">
        <v>142</v>
      </c>
      <c r="S90" s="1011" t="s">
        <v>142</v>
      </c>
      <c r="T90" s="1011" t="s">
        <v>142</v>
      </c>
      <c r="U90" s="1011"/>
      <c r="V90" s="971"/>
      <c r="Y90" s="84"/>
      <c r="Z90" s="84"/>
    </row>
    <row r="91" spans="1:26" ht="20.100000000000001" hidden="1" customHeight="1">
      <c r="A91" s="1416"/>
      <c r="B91" s="1537" t="s">
        <v>1447</v>
      </c>
      <c r="C91" s="1538"/>
      <c r="D91" s="1431"/>
      <c r="E91" s="1068">
        <v>40.6</v>
      </c>
      <c r="F91" s="1068"/>
      <c r="G91" s="1068"/>
      <c r="H91" s="1123">
        <v>78.92</v>
      </c>
      <c r="I91" s="989"/>
      <c r="J91" s="1518"/>
      <c r="K91" s="989">
        <v>85.8</v>
      </c>
      <c r="L91" s="989">
        <v>85.8</v>
      </c>
      <c r="M91" s="989">
        <v>85.8</v>
      </c>
      <c r="N91" s="1691"/>
      <c r="O91" s="989"/>
      <c r="P91" s="1011"/>
      <c r="Q91" s="1011"/>
      <c r="R91" s="1011"/>
      <c r="S91" s="1011"/>
      <c r="T91" s="1011"/>
      <c r="U91" s="1011"/>
      <c r="V91" s="971"/>
      <c r="Y91" s="84"/>
      <c r="Z91" s="84"/>
    </row>
    <row r="92" spans="1:26" ht="20.100000000000001" hidden="1" customHeight="1">
      <c r="A92" s="1416"/>
      <c r="B92" s="1537" t="s">
        <v>3708</v>
      </c>
      <c r="C92" s="1538"/>
      <c r="D92" s="1431"/>
      <c r="E92" s="1068">
        <v>39.299999999999997</v>
      </c>
      <c r="F92" s="1068"/>
      <c r="G92" s="1068">
        <v>105.65</v>
      </c>
      <c r="H92" s="1123">
        <v>105.65</v>
      </c>
      <c r="I92" s="989"/>
      <c r="J92" s="1518"/>
      <c r="K92" s="989">
        <v>79.8</v>
      </c>
      <c r="L92" s="989">
        <v>79.8</v>
      </c>
      <c r="M92" s="989">
        <v>79.8</v>
      </c>
      <c r="N92" s="1691"/>
      <c r="O92" s="989"/>
      <c r="P92" s="1011"/>
      <c r="Q92" s="1011"/>
      <c r="R92" s="1011"/>
      <c r="S92" s="1011"/>
      <c r="T92" s="1011"/>
      <c r="U92" s="1011"/>
      <c r="V92" s="971"/>
      <c r="Y92" s="84"/>
      <c r="Z92" s="84"/>
    </row>
    <row r="93" spans="1:26" ht="27" customHeight="1">
      <c r="A93" s="2727" t="s">
        <v>2121</v>
      </c>
      <c r="B93" s="2899" t="s">
        <v>3709</v>
      </c>
      <c r="C93" s="2881">
        <v>188711925</v>
      </c>
      <c r="D93" s="1082" t="s">
        <v>471</v>
      </c>
      <c r="E93" s="1527">
        <v>28</v>
      </c>
      <c r="F93" s="1534">
        <f t="shared" ref="F93:F100" si="40">H93/E93-1</f>
        <v>0.35714285714285721</v>
      </c>
      <c r="G93" s="1527">
        <v>38.9</v>
      </c>
      <c r="H93" s="1090">
        <v>38</v>
      </c>
      <c r="I93" s="1054">
        <f t="shared" ref="I93:I109" si="41">K93/H93-1</f>
        <v>-7.8947368421052655E-2</v>
      </c>
      <c r="J93" s="1527">
        <v>45</v>
      </c>
      <c r="K93" s="1053">
        <v>35</v>
      </c>
      <c r="L93" s="1053">
        <v>37.200000000000003</v>
      </c>
      <c r="M93" s="1053">
        <v>39</v>
      </c>
      <c r="N93" s="2883" t="s">
        <v>2401</v>
      </c>
      <c r="O93" s="2395" t="s">
        <v>3710</v>
      </c>
      <c r="P93" s="2343" t="s">
        <v>1499</v>
      </c>
      <c r="Q93" s="2343" t="s">
        <v>3711</v>
      </c>
      <c r="R93" s="2343" t="s">
        <v>393</v>
      </c>
      <c r="S93" s="2342" t="s">
        <v>1349</v>
      </c>
      <c r="T93" s="2916" t="s">
        <v>1463</v>
      </c>
      <c r="U93" s="2910" t="s">
        <v>1366</v>
      </c>
      <c r="V93" s="2354" t="s">
        <v>2348</v>
      </c>
      <c r="Y93" s="84"/>
      <c r="Z93" s="84"/>
    </row>
    <row r="94" spans="1:26" ht="42" customHeight="1">
      <c r="A94" s="2807"/>
      <c r="B94" s="2900"/>
      <c r="C94" s="2887"/>
      <c r="D94" s="1087" t="s">
        <v>1076</v>
      </c>
      <c r="E94" s="1573">
        <f>SUM(E93:E93)</f>
        <v>28</v>
      </c>
      <c r="F94" s="1574">
        <f t="shared" si="40"/>
        <v>0.35714285714285721</v>
      </c>
      <c r="G94" s="1573">
        <f t="shared" ref="G94:M94" si="42">SUM(G93:G93)</f>
        <v>38.9</v>
      </c>
      <c r="H94" s="1575">
        <f t="shared" si="42"/>
        <v>38</v>
      </c>
      <c r="I94" s="1576">
        <f t="shared" si="41"/>
        <v>-7.8947368421052655E-2</v>
      </c>
      <c r="J94" s="1577">
        <f t="shared" si="42"/>
        <v>45</v>
      </c>
      <c r="K94" s="1575">
        <f t="shared" si="42"/>
        <v>35</v>
      </c>
      <c r="L94" s="1575">
        <f t="shared" si="42"/>
        <v>37.200000000000003</v>
      </c>
      <c r="M94" s="1089">
        <f t="shared" si="42"/>
        <v>39</v>
      </c>
      <c r="N94" s="2894"/>
      <c r="O94" s="2400"/>
      <c r="P94" s="2345"/>
      <c r="Q94" s="2345"/>
      <c r="R94" s="2345"/>
      <c r="S94" s="2343"/>
      <c r="T94" s="2910"/>
      <c r="U94" s="2911"/>
      <c r="V94" s="2355"/>
      <c r="Y94" s="84"/>
      <c r="Z94" s="84"/>
    </row>
    <row r="95" spans="1:26" ht="63.6" customHeight="1">
      <c r="A95" s="2884" t="s">
        <v>2122</v>
      </c>
      <c r="B95" s="2884" t="s">
        <v>2965</v>
      </c>
      <c r="C95" s="2903"/>
      <c r="D95" s="2903"/>
      <c r="E95" s="1006">
        <f>SUM(E99,E101,E103,E106,E109,E114,E116,E118,E120,E126,E130,E136,E138,E143,E145,E147,E151,E155,)</f>
        <v>713.99700000000007</v>
      </c>
      <c r="F95" s="1048">
        <f t="shared" si="40"/>
        <v>0.34957149679900601</v>
      </c>
      <c r="G95" s="1006">
        <f>SUM(G99,G101,G103,G106,G109,G114,G116,G118,G120,G126,G130,G136,G138,G143,G145,G147,G151,G155,)</f>
        <v>785.47</v>
      </c>
      <c r="H95" s="2864">
        <f>SUM(H99,H101,H103,H106,H109,H114,H116,H118,H120,H126,H130,H136,H138,H143,H145,H147,H151,H155,)</f>
        <v>963.58999999999992</v>
      </c>
      <c r="I95" s="2905">
        <f t="shared" si="41"/>
        <v>1.2721634720161066</v>
      </c>
      <c r="J95" s="2864">
        <f>SUM(J99,J101,J103,J106,J109,J114,J116,J118,J120,J126,J130,J136,J138,J143,J145,J147,J151,J155,)</f>
        <v>2088.4829999999997</v>
      </c>
      <c r="K95" s="2864">
        <f>SUM(K99,K101,K103,K106,K109,K114,K116,K118,K120,K126,K130,K136,K138,K143,K145,K147,K151,K155,)</f>
        <v>2189.4339999999997</v>
      </c>
      <c r="L95" s="2864">
        <f>SUM(L99,L101,L103,L106,L109,L114,L116,L118,L120,L126,L130,L136,L138,L143,L145,L147,L151,L155,)</f>
        <v>1447.5250000000001</v>
      </c>
      <c r="M95" s="2864">
        <f>SUM(M99,M101,M103,M106,M109,M114,M116,M118,M120,M126,M130,M136,M138,M143,M145,M147,M151,M155,)</f>
        <v>920.61999999999989</v>
      </c>
      <c r="N95" s="2866" t="s">
        <v>946</v>
      </c>
      <c r="O95" s="2868"/>
      <c r="P95" s="2870" t="s">
        <v>3057</v>
      </c>
      <c r="Q95" s="1578" t="s">
        <v>1809</v>
      </c>
      <c r="R95" s="1578">
        <v>26</v>
      </c>
      <c r="S95" s="1578">
        <v>26</v>
      </c>
      <c r="T95" s="1578">
        <v>27</v>
      </c>
      <c r="U95" s="954">
        <v>27</v>
      </c>
      <c r="V95" s="2354" t="s">
        <v>1809</v>
      </c>
      <c r="Y95" s="84"/>
      <c r="Z95" s="84"/>
    </row>
    <row r="96" spans="1:26" ht="51" customHeight="1">
      <c r="A96" s="2885"/>
      <c r="B96" s="2885"/>
      <c r="C96" s="2904"/>
      <c r="D96" s="2904"/>
      <c r="E96" s="1006"/>
      <c r="F96" s="1048"/>
      <c r="G96" s="1006"/>
      <c r="H96" s="2865"/>
      <c r="I96" s="2906"/>
      <c r="J96" s="2865"/>
      <c r="K96" s="2865"/>
      <c r="L96" s="2865"/>
      <c r="M96" s="2865"/>
      <c r="N96" s="2867"/>
      <c r="O96" s="2869"/>
      <c r="P96" s="2871"/>
      <c r="Q96" s="1578" t="s">
        <v>4049</v>
      </c>
      <c r="R96" s="1578">
        <v>90</v>
      </c>
      <c r="S96" s="1578">
        <v>90</v>
      </c>
      <c r="T96" s="1578">
        <v>95</v>
      </c>
      <c r="U96" s="954">
        <v>96</v>
      </c>
      <c r="V96" s="2355"/>
      <c r="Y96" s="84"/>
      <c r="Z96" s="84"/>
    </row>
    <row r="97" spans="1:26" ht="37.15" customHeight="1">
      <c r="A97" s="2746" t="s">
        <v>2123</v>
      </c>
      <c r="B97" s="2574" t="s">
        <v>1233</v>
      </c>
      <c r="C97" s="2897">
        <v>188711925</v>
      </c>
      <c r="D97" s="1098" t="s">
        <v>471</v>
      </c>
      <c r="E97" s="1510">
        <v>42</v>
      </c>
      <c r="F97" s="1526">
        <f t="shared" si="40"/>
        <v>-0.2857142857142857</v>
      </c>
      <c r="G97" s="1510">
        <v>42.5</v>
      </c>
      <c r="H97" s="1117">
        <v>30</v>
      </c>
      <c r="I97" s="1149">
        <f t="shared" si="41"/>
        <v>0.66666666666666674</v>
      </c>
      <c r="J97" s="1510">
        <v>80</v>
      </c>
      <c r="K97" s="1100">
        <v>50</v>
      </c>
      <c r="L97" s="1100">
        <v>50</v>
      </c>
      <c r="M97" s="1100">
        <v>50</v>
      </c>
      <c r="N97" s="2907" t="s">
        <v>2402</v>
      </c>
      <c r="O97" s="2363" t="s">
        <v>2969</v>
      </c>
      <c r="P97" s="2345" t="s">
        <v>1500</v>
      </c>
      <c r="Q97" s="2345" t="s">
        <v>555</v>
      </c>
      <c r="R97" s="2345" t="s">
        <v>1464</v>
      </c>
      <c r="S97" s="2344" t="s">
        <v>1340</v>
      </c>
      <c r="T97" s="2344" t="s">
        <v>142</v>
      </c>
      <c r="U97" s="2345" t="s">
        <v>1470</v>
      </c>
      <c r="V97" s="2343" t="s">
        <v>2340</v>
      </c>
      <c r="Y97" s="84"/>
      <c r="Z97" s="84"/>
    </row>
    <row r="98" spans="1:26" ht="25.15" customHeight="1">
      <c r="A98" s="2727"/>
      <c r="B98" s="2575"/>
      <c r="C98" s="2881"/>
      <c r="D98" s="1082" t="s">
        <v>1122</v>
      </c>
      <c r="E98" s="1527">
        <v>29.369</v>
      </c>
      <c r="F98" s="1526">
        <f t="shared" si="40"/>
        <v>0.59743266709796039</v>
      </c>
      <c r="G98" s="1527">
        <v>57.1</v>
      </c>
      <c r="H98" s="1090">
        <v>46.914999999999999</v>
      </c>
      <c r="I98" s="1054">
        <f t="shared" si="41"/>
        <v>0.69606735585633595</v>
      </c>
      <c r="J98" s="1527">
        <v>120</v>
      </c>
      <c r="K98" s="1053">
        <v>79.570999999999998</v>
      </c>
      <c r="L98" s="1053">
        <v>79.570999999999998</v>
      </c>
      <c r="M98" s="1053">
        <v>79.570999999999998</v>
      </c>
      <c r="N98" s="2907"/>
      <c r="O98" s="2880"/>
      <c r="P98" s="2345"/>
      <c r="Q98" s="2345"/>
      <c r="R98" s="2345"/>
      <c r="S98" s="2342"/>
      <c r="T98" s="2342"/>
      <c r="U98" s="2345"/>
      <c r="V98" s="2345"/>
      <c r="Y98" s="84"/>
      <c r="Z98" s="84"/>
    </row>
    <row r="99" spans="1:26" ht="34.5" customHeight="1">
      <c r="A99" s="2727"/>
      <c r="B99" s="2575"/>
      <c r="C99" s="2881"/>
      <c r="D99" s="1083" t="s">
        <v>1076</v>
      </c>
      <c r="E99" s="1513">
        <f>SUM(E97:E98)</f>
        <v>71.369</v>
      </c>
      <c r="F99" s="1514">
        <f t="shared" si="40"/>
        <v>7.7708809146828317E-2</v>
      </c>
      <c r="G99" s="1513">
        <f t="shared" ref="G99:M99" si="43">SUM(G97:G98)</f>
        <v>99.6</v>
      </c>
      <c r="H99" s="1091">
        <f t="shared" si="43"/>
        <v>76.914999999999992</v>
      </c>
      <c r="I99" s="1530">
        <f t="shared" si="41"/>
        <v>0.68459988298771379</v>
      </c>
      <c r="J99" s="1531">
        <f t="shared" si="43"/>
        <v>200</v>
      </c>
      <c r="K99" s="1091">
        <f t="shared" si="43"/>
        <v>129.571</v>
      </c>
      <c r="L99" s="1091">
        <f t="shared" si="43"/>
        <v>129.571</v>
      </c>
      <c r="M99" s="1059">
        <f t="shared" si="43"/>
        <v>129.571</v>
      </c>
      <c r="N99" s="2895"/>
      <c r="O99" s="2401"/>
      <c r="P99" s="2345"/>
      <c r="Q99" s="2345"/>
      <c r="R99" s="2345"/>
      <c r="S99" s="2342"/>
      <c r="T99" s="2342"/>
      <c r="U99" s="2344"/>
      <c r="V99" s="2344"/>
      <c r="Y99" s="84"/>
      <c r="Z99" s="84"/>
    </row>
    <row r="100" spans="1:26" ht="33" customHeight="1">
      <c r="A100" s="2727" t="s">
        <v>2124</v>
      </c>
      <c r="B100" s="2899" t="s">
        <v>3729</v>
      </c>
      <c r="C100" s="2881">
        <v>188711925</v>
      </c>
      <c r="D100" s="1082" t="s">
        <v>471</v>
      </c>
      <c r="E100" s="1527">
        <v>60</v>
      </c>
      <c r="F100" s="1533">
        <f t="shared" si="40"/>
        <v>-0.13933333333333331</v>
      </c>
      <c r="G100" s="1527">
        <v>70</v>
      </c>
      <c r="H100" s="1090">
        <v>51.64</v>
      </c>
      <c r="I100" s="1054">
        <f t="shared" si="41"/>
        <v>-0.58365608055770724</v>
      </c>
      <c r="J100" s="1527">
        <v>12</v>
      </c>
      <c r="K100" s="1053">
        <v>21.5</v>
      </c>
      <c r="L100" s="1053">
        <v>2.5</v>
      </c>
      <c r="M100" s="1053">
        <v>2.5</v>
      </c>
      <c r="N100" s="2894" t="s">
        <v>3731</v>
      </c>
      <c r="O100" s="2349" t="s">
        <v>4120</v>
      </c>
      <c r="P100" s="2343" t="s">
        <v>1501</v>
      </c>
      <c r="Q100" s="2343" t="s">
        <v>3730</v>
      </c>
      <c r="R100" s="2343" t="s">
        <v>324</v>
      </c>
      <c r="S100" s="2342" t="s">
        <v>433</v>
      </c>
      <c r="T100" s="2342" t="s">
        <v>434</v>
      </c>
      <c r="U100" s="2343" t="s">
        <v>434</v>
      </c>
      <c r="V100" s="2343" t="s">
        <v>2357</v>
      </c>
      <c r="W100" s="84">
        <v>49140</v>
      </c>
      <c r="X100" s="84" t="s">
        <v>2718</v>
      </c>
      <c r="Y100" s="84"/>
      <c r="Z100" s="84"/>
    </row>
    <row r="101" spans="1:26" ht="39.75" customHeight="1">
      <c r="A101" s="2727"/>
      <c r="B101" s="2899"/>
      <c r="C101" s="2881"/>
      <c r="D101" s="1083" t="s">
        <v>1076</v>
      </c>
      <c r="E101" s="1513">
        <f>E100</f>
        <v>60</v>
      </c>
      <c r="F101" s="1514">
        <f t="shared" ref="F101:M101" si="44">F100</f>
        <v>-0.13933333333333331</v>
      </c>
      <c r="G101" s="1513">
        <f t="shared" si="44"/>
        <v>70</v>
      </c>
      <c r="H101" s="1091">
        <f t="shared" si="44"/>
        <v>51.64</v>
      </c>
      <c r="I101" s="1060">
        <f t="shared" si="41"/>
        <v>-0.58365608055770724</v>
      </c>
      <c r="J101" s="1513">
        <f>J100</f>
        <v>12</v>
      </c>
      <c r="K101" s="1059">
        <f t="shared" si="44"/>
        <v>21.5</v>
      </c>
      <c r="L101" s="1059">
        <f t="shared" si="44"/>
        <v>2.5</v>
      </c>
      <c r="M101" s="1059">
        <f t="shared" si="44"/>
        <v>2.5</v>
      </c>
      <c r="N101" s="2895"/>
      <c r="O101" s="2401"/>
      <c r="P101" s="2345"/>
      <c r="Q101" s="2345"/>
      <c r="R101" s="2345"/>
      <c r="S101" s="2342"/>
      <c r="T101" s="2342"/>
      <c r="U101" s="2344"/>
      <c r="V101" s="2344"/>
      <c r="W101" s="84">
        <v>2500</v>
      </c>
      <c r="X101" s="84" t="s">
        <v>2719</v>
      </c>
      <c r="Y101" s="84"/>
      <c r="Z101" s="84"/>
    </row>
    <row r="102" spans="1:26" ht="61.15" customHeight="1">
      <c r="A102" s="2727" t="s">
        <v>2125</v>
      </c>
      <c r="B102" s="2575" t="s">
        <v>1234</v>
      </c>
      <c r="C102" s="2881">
        <v>188711925</v>
      </c>
      <c r="D102" s="1082" t="s">
        <v>471</v>
      </c>
      <c r="E102" s="1527">
        <v>3</v>
      </c>
      <c r="F102" s="1534">
        <f>H102/E102-1</f>
        <v>0</v>
      </c>
      <c r="G102" s="1527">
        <v>3</v>
      </c>
      <c r="H102" s="1090">
        <v>3</v>
      </c>
      <c r="I102" s="1054">
        <f t="shared" si="41"/>
        <v>0</v>
      </c>
      <c r="J102" s="1527">
        <v>3</v>
      </c>
      <c r="K102" s="1053">
        <v>3</v>
      </c>
      <c r="L102" s="1053">
        <v>3.1</v>
      </c>
      <c r="M102" s="1053">
        <v>3.2</v>
      </c>
      <c r="N102" s="2883" t="s">
        <v>2350</v>
      </c>
      <c r="O102" s="2349" t="s">
        <v>1452</v>
      </c>
      <c r="P102" s="2343" t="s">
        <v>1502</v>
      </c>
      <c r="Q102" s="2343" t="s">
        <v>1465</v>
      </c>
      <c r="R102" s="2343" t="s">
        <v>1466</v>
      </c>
      <c r="S102" s="2342" t="s">
        <v>1466</v>
      </c>
      <c r="T102" s="2342" t="s">
        <v>1466</v>
      </c>
      <c r="U102" s="2343" t="s">
        <v>1466</v>
      </c>
      <c r="V102" s="2343" t="s">
        <v>2351</v>
      </c>
      <c r="Y102" s="84"/>
      <c r="Z102" s="84"/>
    </row>
    <row r="103" spans="1:26" ht="40.15" customHeight="1">
      <c r="A103" s="2901"/>
      <c r="B103" s="2575"/>
      <c r="C103" s="2882"/>
      <c r="D103" s="1083" t="s">
        <v>1076</v>
      </c>
      <c r="E103" s="1513">
        <f>E102</f>
        <v>3</v>
      </c>
      <c r="F103" s="1513">
        <f t="shared" ref="F103:M103" si="45">F102</f>
        <v>0</v>
      </c>
      <c r="G103" s="1513">
        <f t="shared" si="45"/>
        <v>3</v>
      </c>
      <c r="H103" s="1091">
        <f t="shared" si="45"/>
        <v>3</v>
      </c>
      <c r="I103" s="1530">
        <f t="shared" si="41"/>
        <v>0</v>
      </c>
      <c r="J103" s="1531">
        <f t="shared" si="45"/>
        <v>3</v>
      </c>
      <c r="K103" s="1091">
        <f t="shared" si="45"/>
        <v>3</v>
      </c>
      <c r="L103" s="1091">
        <f t="shared" si="45"/>
        <v>3.1</v>
      </c>
      <c r="M103" s="1059">
        <f t="shared" si="45"/>
        <v>3.2</v>
      </c>
      <c r="N103" s="2883"/>
      <c r="O103" s="2401"/>
      <c r="P103" s="2345"/>
      <c r="Q103" s="2345"/>
      <c r="R103" s="2345"/>
      <c r="S103" s="2342"/>
      <c r="T103" s="2342"/>
      <c r="U103" s="2344"/>
      <c r="V103" s="2345"/>
      <c r="Y103" s="84"/>
      <c r="Z103" s="84"/>
    </row>
    <row r="104" spans="1:26" ht="44.45" customHeight="1">
      <c r="A104" s="2727" t="s">
        <v>2126</v>
      </c>
      <c r="B104" s="2728" t="s">
        <v>1235</v>
      </c>
      <c r="C104" s="2881">
        <v>188711925</v>
      </c>
      <c r="D104" s="1082" t="s">
        <v>471</v>
      </c>
      <c r="E104" s="1527">
        <v>28</v>
      </c>
      <c r="F104" s="1534">
        <f>H104/E104-1</f>
        <v>0.34285714285714297</v>
      </c>
      <c r="G104" s="1527">
        <f>34.6+3</f>
        <v>37.6</v>
      </c>
      <c r="H104" s="1090">
        <f>34.6+3</f>
        <v>37.6</v>
      </c>
      <c r="I104" s="1054">
        <f t="shared" si="41"/>
        <v>1.2606382978723403</v>
      </c>
      <c r="J104" s="1527">
        <v>70.2</v>
      </c>
      <c r="K104" s="1053">
        <f>82+K107</f>
        <v>85</v>
      </c>
      <c r="L104" s="1053">
        <v>86</v>
      </c>
      <c r="M104" s="1053">
        <v>87</v>
      </c>
      <c r="N104" s="2883"/>
      <c r="O104" s="2349" t="s">
        <v>2917</v>
      </c>
      <c r="P104" s="2343" t="s">
        <v>1503</v>
      </c>
      <c r="Q104" s="2343" t="s">
        <v>1467</v>
      </c>
      <c r="R104" s="2343" t="s">
        <v>1468</v>
      </c>
      <c r="S104" s="2342" t="s">
        <v>3395</v>
      </c>
      <c r="T104" s="2342" t="s">
        <v>3396</v>
      </c>
      <c r="U104" s="2343" t="s">
        <v>3396</v>
      </c>
      <c r="V104" s="2345"/>
      <c r="W104" s="153" t="s">
        <v>2771</v>
      </c>
      <c r="Y104" s="84"/>
      <c r="Z104" s="84"/>
    </row>
    <row r="105" spans="1:26" ht="34.9" customHeight="1">
      <c r="A105" s="2727"/>
      <c r="B105" s="2729"/>
      <c r="C105" s="2887"/>
      <c r="D105" s="1387" t="s">
        <v>1122</v>
      </c>
      <c r="E105" s="1579">
        <v>0.44900000000000001</v>
      </c>
      <c r="F105" s="1580">
        <f>H105/E105-1</f>
        <v>4.0868596881959904</v>
      </c>
      <c r="G105" s="1579"/>
      <c r="H105" s="1118">
        <f>H107</f>
        <v>2.2839999999999998</v>
      </c>
      <c r="I105" s="1054">
        <f t="shared" si="41"/>
        <v>-0.80735551663747807</v>
      </c>
      <c r="J105" s="1527"/>
      <c r="K105" s="1053">
        <v>0.44</v>
      </c>
      <c r="L105" s="1053"/>
      <c r="M105" s="1053"/>
      <c r="N105" s="2883"/>
      <c r="O105" s="2363"/>
      <c r="P105" s="2345"/>
      <c r="Q105" s="2345"/>
      <c r="R105" s="2345"/>
      <c r="S105" s="2342"/>
      <c r="T105" s="2342"/>
      <c r="U105" s="2345"/>
      <c r="V105" s="2345"/>
      <c r="Y105" s="84"/>
      <c r="Z105" s="84"/>
    </row>
    <row r="106" spans="1:26" ht="45.75" customHeight="1">
      <c r="A106" s="2901"/>
      <c r="B106" s="2729"/>
      <c r="C106" s="2896"/>
      <c r="D106" s="1087" t="s">
        <v>1076</v>
      </c>
      <c r="E106" s="1573">
        <f>SUM(E104:E105)</f>
        <v>28.449000000000002</v>
      </c>
      <c r="F106" s="1574">
        <f>H106/E106-1</f>
        <v>0.40194734437062807</v>
      </c>
      <c r="G106" s="1573">
        <f t="shared" ref="G106:M106" si="46">SUM(G104:G105)</f>
        <v>37.6</v>
      </c>
      <c r="H106" s="1575">
        <f t="shared" si="46"/>
        <v>39.884</v>
      </c>
      <c r="I106" s="1581">
        <f t="shared" si="41"/>
        <v>1.1422124160064184</v>
      </c>
      <c r="J106" s="1577">
        <f t="shared" si="46"/>
        <v>70.2</v>
      </c>
      <c r="K106" s="1575">
        <f t="shared" si="46"/>
        <v>85.44</v>
      </c>
      <c r="L106" s="1575">
        <f t="shared" si="46"/>
        <v>86</v>
      </c>
      <c r="M106" s="1059">
        <f t="shared" si="46"/>
        <v>87</v>
      </c>
      <c r="N106" s="2883"/>
      <c r="O106" s="2363"/>
      <c r="P106" s="2345"/>
      <c r="Q106" s="2345"/>
      <c r="R106" s="2345"/>
      <c r="S106" s="2342"/>
      <c r="T106" s="2342"/>
      <c r="U106" s="2345"/>
      <c r="V106" s="2345"/>
      <c r="Y106" s="84"/>
      <c r="Z106" s="84"/>
    </row>
    <row r="107" spans="1:26" s="88" customFormat="1" ht="111" customHeight="1">
      <c r="A107" s="1582" t="s">
        <v>3712</v>
      </c>
      <c r="B107" s="1583" t="s">
        <v>1236</v>
      </c>
      <c r="C107" s="1584"/>
      <c r="D107" s="1585" t="s">
        <v>471</v>
      </c>
      <c r="E107" s="1586"/>
      <c r="F107" s="1586"/>
      <c r="G107" s="1586"/>
      <c r="H107" s="1587">
        <f>0.641+1.643</f>
        <v>2.2839999999999998</v>
      </c>
      <c r="I107" s="1588">
        <f t="shared" si="41"/>
        <v>0.31348511383537669</v>
      </c>
      <c r="J107" s="1589"/>
      <c r="K107" s="1590">
        <v>3</v>
      </c>
      <c r="L107" s="1586"/>
      <c r="M107" s="1586"/>
      <c r="N107" s="2883"/>
      <c r="O107" s="2350"/>
      <c r="P107" s="2344"/>
      <c r="Q107" s="2344"/>
      <c r="R107" s="2344"/>
      <c r="S107" s="2342"/>
      <c r="T107" s="2342"/>
      <c r="U107" s="2344"/>
      <c r="V107" s="2344"/>
    </row>
    <row r="108" spans="1:26" ht="26.25" customHeight="1">
      <c r="A108" s="2747" t="s">
        <v>2127</v>
      </c>
      <c r="B108" s="2575" t="s">
        <v>1237</v>
      </c>
      <c r="C108" s="2881" t="s">
        <v>1080</v>
      </c>
      <c r="D108" s="1082" t="s">
        <v>471</v>
      </c>
      <c r="E108" s="1527">
        <v>3.5</v>
      </c>
      <c r="F108" s="1534">
        <f>H108/E108-1</f>
        <v>0</v>
      </c>
      <c r="G108" s="1527">
        <f>G110+G111</f>
        <v>3.5</v>
      </c>
      <c r="H108" s="1090">
        <v>3.5</v>
      </c>
      <c r="I108" s="1054">
        <f t="shared" si="41"/>
        <v>0</v>
      </c>
      <c r="J108" s="1527">
        <v>3.5</v>
      </c>
      <c r="K108" s="1053">
        <f>SUM(K110,K111)</f>
        <v>3.5</v>
      </c>
      <c r="L108" s="1053">
        <f t="shared" ref="L108:M108" si="47">SUM(L110,L111)</f>
        <v>3.6</v>
      </c>
      <c r="M108" s="1053">
        <f t="shared" si="47"/>
        <v>3.6</v>
      </c>
      <c r="N108" s="2894" t="s">
        <v>2358</v>
      </c>
      <c r="O108" s="2349" t="s">
        <v>1794</v>
      </c>
      <c r="P108" s="2343" t="s">
        <v>1504</v>
      </c>
      <c r="Q108" s="2343" t="s">
        <v>2720</v>
      </c>
      <c r="R108" s="2343" t="s">
        <v>2927</v>
      </c>
      <c r="S108" s="2342" t="s">
        <v>2927</v>
      </c>
      <c r="T108" s="2342" t="s">
        <v>2927</v>
      </c>
      <c r="U108" s="2342" t="s">
        <v>2927</v>
      </c>
      <c r="V108" s="2343" t="s">
        <v>2352</v>
      </c>
      <c r="Y108" s="84"/>
      <c r="Z108" s="84"/>
    </row>
    <row r="109" spans="1:26" ht="31.5" customHeight="1">
      <c r="A109" s="2746"/>
      <c r="B109" s="2575"/>
      <c r="C109" s="2881"/>
      <c r="D109" s="1083" t="s">
        <v>1076</v>
      </c>
      <c r="E109" s="1513">
        <f>E108</f>
        <v>3.5</v>
      </c>
      <c r="F109" s="1514">
        <f t="shared" ref="F109:M109" si="48">F108</f>
        <v>0</v>
      </c>
      <c r="G109" s="1513">
        <f t="shared" si="48"/>
        <v>3.5</v>
      </c>
      <c r="H109" s="1091">
        <f t="shared" si="48"/>
        <v>3.5</v>
      </c>
      <c r="I109" s="1530">
        <f t="shared" si="41"/>
        <v>0</v>
      </c>
      <c r="J109" s="1531">
        <f t="shared" si="48"/>
        <v>3.5</v>
      </c>
      <c r="K109" s="1091">
        <f t="shared" si="48"/>
        <v>3.5</v>
      </c>
      <c r="L109" s="1091">
        <f t="shared" si="48"/>
        <v>3.6</v>
      </c>
      <c r="M109" s="1059">
        <f t="shared" si="48"/>
        <v>3.6</v>
      </c>
      <c r="N109" s="2907"/>
      <c r="O109" s="2401"/>
      <c r="P109" s="2345"/>
      <c r="Q109" s="2345"/>
      <c r="R109" s="2345"/>
      <c r="S109" s="2342"/>
      <c r="T109" s="2342"/>
      <c r="U109" s="2342"/>
      <c r="V109" s="2345"/>
      <c r="Y109" s="84"/>
      <c r="Z109" s="84"/>
    </row>
    <row r="110" spans="1:26" ht="20.100000000000001" hidden="1" customHeight="1">
      <c r="A110" s="1416"/>
      <c r="B110" s="1591" t="s">
        <v>339</v>
      </c>
      <c r="C110" s="1538"/>
      <c r="D110" s="1431"/>
      <c r="E110" s="1068">
        <v>2</v>
      </c>
      <c r="F110" s="1068"/>
      <c r="G110" s="1068">
        <v>2</v>
      </c>
      <c r="H110" s="1123"/>
      <c r="I110" s="989"/>
      <c r="J110" s="1518"/>
      <c r="K110" s="989">
        <v>2</v>
      </c>
      <c r="L110" s="989">
        <v>2</v>
      </c>
      <c r="M110" s="989">
        <v>2</v>
      </c>
      <c r="N110" s="2907"/>
      <c r="O110" s="1592"/>
      <c r="P110" s="1004"/>
      <c r="Q110" s="1593"/>
      <c r="R110" s="1593"/>
      <c r="S110" s="1593"/>
      <c r="T110" s="1593"/>
      <c r="U110" s="1593"/>
      <c r="V110" s="2345"/>
      <c r="Y110" s="84"/>
      <c r="Z110" s="84"/>
    </row>
    <row r="111" spans="1:26" ht="20.100000000000001" hidden="1" customHeight="1">
      <c r="A111" s="1416"/>
      <c r="B111" s="1591" t="s">
        <v>2716</v>
      </c>
      <c r="C111" s="1538"/>
      <c r="D111" s="1431"/>
      <c r="E111" s="1068"/>
      <c r="F111" s="1068"/>
      <c r="G111" s="1068">
        <v>1.5</v>
      </c>
      <c r="H111" s="1123"/>
      <c r="I111" s="989"/>
      <c r="J111" s="1518"/>
      <c r="K111" s="989">
        <v>1.5</v>
      </c>
      <c r="L111" s="989">
        <v>1.6</v>
      </c>
      <c r="M111" s="989">
        <v>1.6</v>
      </c>
      <c r="N111" s="2907"/>
      <c r="O111" s="1592"/>
      <c r="P111" s="1594"/>
      <c r="Q111" s="1595"/>
      <c r="R111" s="1595"/>
      <c r="S111" s="1593"/>
      <c r="T111" s="1593"/>
      <c r="U111" s="1593"/>
      <c r="V111" s="2345"/>
      <c r="Y111" s="84"/>
      <c r="Z111" s="84"/>
    </row>
    <row r="112" spans="1:26" ht="29.25" customHeight="1">
      <c r="A112" s="2727" t="s">
        <v>2128</v>
      </c>
      <c r="B112" s="2575" t="s">
        <v>1238</v>
      </c>
      <c r="C112" s="2881">
        <v>300079075</v>
      </c>
      <c r="D112" s="1082" t="s">
        <v>471</v>
      </c>
      <c r="E112" s="1527">
        <v>0.7</v>
      </c>
      <c r="F112" s="1534">
        <f t="shared" ref="F112" si="49">(G112-E112)/E112</f>
        <v>0</v>
      </c>
      <c r="G112" s="1527">
        <v>0.7</v>
      </c>
      <c r="H112" s="1090">
        <v>0.7</v>
      </c>
      <c r="I112" s="1054">
        <f t="shared" ref="I112:I120" si="50">K112/H112-1</f>
        <v>0</v>
      </c>
      <c r="J112" s="1527"/>
      <c r="K112" s="1090">
        <v>0.7</v>
      </c>
      <c r="L112" s="1090">
        <v>0.7</v>
      </c>
      <c r="M112" s="1090">
        <v>0.7</v>
      </c>
      <c r="N112" s="2907"/>
      <c r="O112" s="2349" t="s">
        <v>2970</v>
      </c>
      <c r="P112" s="2343" t="s">
        <v>1505</v>
      </c>
      <c r="Q112" s="2343" t="s">
        <v>1469</v>
      </c>
      <c r="R112" s="2343" t="s">
        <v>1805</v>
      </c>
      <c r="S112" s="2342" t="s">
        <v>142</v>
      </c>
      <c r="T112" s="2342" t="s">
        <v>142</v>
      </c>
      <c r="U112" s="2343" t="s">
        <v>142</v>
      </c>
      <c r="V112" s="2345"/>
      <c r="Y112" s="84"/>
      <c r="Z112" s="84"/>
    </row>
    <row r="113" spans="1:26" ht="29.25" customHeight="1">
      <c r="A113" s="2727"/>
      <c r="B113" s="2575"/>
      <c r="C113" s="2881"/>
      <c r="D113" s="1082" t="s">
        <v>1079</v>
      </c>
      <c r="E113" s="1596">
        <v>1.9</v>
      </c>
      <c r="F113" s="1534">
        <f t="shared" ref="F113:F119" si="51">H113/E113-1</f>
        <v>0.45789473684210535</v>
      </c>
      <c r="G113" s="1596">
        <v>2.77</v>
      </c>
      <c r="H113" s="1090">
        <v>2.77</v>
      </c>
      <c r="I113" s="1054">
        <f t="shared" si="50"/>
        <v>0.26353790613718409</v>
      </c>
      <c r="J113" s="1527">
        <v>2.9430000000000001</v>
      </c>
      <c r="K113" s="1053">
        <v>3.5</v>
      </c>
      <c r="L113" s="1053">
        <v>3.5</v>
      </c>
      <c r="M113" s="1053">
        <v>3.5</v>
      </c>
      <c r="N113" s="2907"/>
      <c r="O113" s="2880"/>
      <c r="P113" s="2345"/>
      <c r="Q113" s="2345"/>
      <c r="R113" s="2345"/>
      <c r="S113" s="2342"/>
      <c r="T113" s="2342"/>
      <c r="U113" s="2345"/>
      <c r="V113" s="2345"/>
      <c r="Y113" s="84"/>
      <c r="Z113" s="84"/>
    </row>
    <row r="114" spans="1:26" ht="36.75" customHeight="1">
      <c r="A114" s="2727"/>
      <c r="B114" s="2575"/>
      <c r="C114" s="2881"/>
      <c r="D114" s="1083" t="s">
        <v>1076</v>
      </c>
      <c r="E114" s="1513">
        <f>SUM(E112:E113)</f>
        <v>2.5999999999999996</v>
      </c>
      <c r="F114" s="1514">
        <f t="shared" si="51"/>
        <v>0.33461538461538476</v>
      </c>
      <c r="G114" s="1513">
        <f t="shared" ref="G114:M114" si="52">SUM(G112:G113)</f>
        <v>3.4699999999999998</v>
      </c>
      <c r="H114" s="1091">
        <f t="shared" si="52"/>
        <v>3.4699999999999998</v>
      </c>
      <c r="I114" s="1060">
        <f t="shared" si="50"/>
        <v>0.21037463976945259</v>
      </c>
      <c r="J114" s="1513">
        <f>J113</f>
        <v>2.9430000000000001</v>
      </c>
      <c r="K114" s="1059">
        <f t="shared" si="52"/>
        <v>4.2</v>
      </c>
      <c r="L114" s="1059">
        <f t="shared" si="52"/>
        <v>4.2</v>
      </c>
      <c r="M114" s="1059">
        <f t="shared" si="52"/>
        <v>4.2</v>
      </c>
      <c r="N114" s="2895"/>
      <c r="O114" s="2401"/>
      <c r="P114" s="2345"/>
      <c r="Q114" s="2345"/>
      <c r="R114" s="2345"/>
      <c r="S114" s="2342"/>
      <c r="T114" s="2342"/>
      <c r="U114" s="2344"/>
      <c r="V114" s="2344"/>
      <c r="Y114" s="84"/>
      <c r="Z114" s="84"/>
    </row>
    <row r="115" spans="1:26" ht="27.75" customHeight="1">
      <c r="A115" s="2727" t="s">
        <v>2129</v>
      </c>
      <c r="B115" s="2575" t="s">
        <v>1239</v>
      </c>
      <c r="C115" s="2881">
        <v>188711925</v>
      </c>
      <c r="D115" s="1082" t="s">
        <v>471</v>
      </c>
      <c r="E115" s="1527">
        <v>106</v>
      </c>
      <c r="F115" s="1533">
        <f t="shared" si="51"/>
        <v>0</v>
      </c>
      <c r="G115" s="1527">
        <v>150</v>
      </c>
      <c r="H115" s="1090">
        <v>106</v>
      </c>
      <c r="I115" s="1054">
        <f t="shared" si="50"/>
        <v>0.46226415094339623</v>
      </c>
      <c r="J115" s="1527">
        <v>155</v>
      </c>
      <c r="K115" s="1053">
        <v>155</v>
      </c>
      <c r="L115" s="1053">
        <v>100</v>
      </c>
      <c r="M115" s="1053">
        <v>100</v>
      </c>
      <c r="N115" s="2894" t="s">
        <v>2349</v>
      </c>
      <c r="O115" s="2349" t="s">
        <v>3723</v>
      </c>
      <c r="P115" s="2343" t="s">
        <v>1506</v>
      </c>
      <c r="Q115" s="2343" t="s">
        <v>1471</v>
      </c>
      <c r="R115" s="2343" t="s">
        <v>1340</v>
      </c>
      <c r="S115" s="2342" t="s">
        <v>404</v>
      </c>
      <c r="T115" s="2342" t="s">
        <v>404</v>
      </c>
      <c r="U115" s="2343" t="s">
        <v>404</v>
      </c>
      <c r="V115" s="2343" t="s">
        <v>2353</v>
      </c>
      <c r="Y115" s="84"/>
      <c r="Z115" s="84"/>
    </row>
    <row r="116" spans="1:26" ht="40.9" customHeight="1">
      <c r="A116" s="2901"/>
      <c r="B116" s="2575"/>
      <c r="C116" s="2882"/>
      <c r="D116" s="1083" t="s">
        <v>1076</v>
      </c>
      <c r="E116" s="1513">
        <f>E115</f>
        <v>106</v>
      </c>
      <c r="F116" s="1514">
        <f t="shared" si="51"/>
        <v>0</v>
      </c>
      <c r="G116" s="1513">
        <f t="shared" ref="G116:M116" si="53">G115</f>
        <v>150</v>
      </c>
      <c r="H116" s="1091">
        <f t="shared" si="53"/>
        <v>106</v>
      </c>
      <c r="I116" s="1530">
        <f t="shared" si="50"/>
        <v>0.46226415094339623</v>
      </c>
      <c r="J116" s="1531">
        <f t="shared" si="53"/>
        <v>155</v>
      </c>
      <c r="K116" s="1091">
        <f t="shared" si="53"/>
        <v>155</v>
      </c>
      <c r="L116" s="1091">
        <f t="shared" si="53"/>
        <v>100</v>
      </c>
      <c r="M116" s="1091">
        <f t="shared" si="53"/>
        <v>100</v>
      </c>
      <c r="N116" s="2895"/>
      <c r="O116" s="2401"/>
      <c r="P116" s="2345"/>
      <c r="Q116" s="2345"/>
      <c r="R116" s="2345"/>
      <c r="S116" s="2342"/>
      <c r="T116" s="2342"/>
      <c r="U116" s="2344"/>
      <c r="V116" s="2344"/>
      <c r="Y116" s="84"/>
      <c r="Z116" s="84"/>
    </row>
    <row r="117" spans="1:26" ht="37.9" customHeight="1">
      <c r="A117" s="2727" t="s">
        <v>2130</v>
      </c>
      <c r="B117" s="2728" t="s">
        <v>1240</v>
      </c>
      <c r="C117" s="2881">
        <v>300079075</v>
      </c>
      <c r="D117" s="1082" t="s">
        <v>471</v>
      </c>
      <c r="E117" s="1527">
        <v>0.7</v>
      </c>
      <c r="F117" s="1534">
        <f t="shared" si="51"/>
        <v>0</v>
      </c>
      <c r="G117" s="1527">
        <v>1.1000000000000001</v>
      </c>
      <c r="H117" s="1090">
        <v>0.7</v>
      </c>
      <c r="I117" s="1054">
        <f t="shared" si="50"/>
        <v>0</v>
      </c>
      <c r="J117" s="1527">
        <v>0.7</v>
      </c>
      <c r="K117" s="1090">
        <v>0.7</v>
      </c>
      <c r="L117" s="1090">
        <v>0.7</v>
      </c>
      <c r="M117" s="1090">
        <v>0.7</v>
      </c>
      <c r="N117" s="2883" t="s">
        <v>2356</v>
      </c>
      <c r="O117" s="2349" t="s">
        <v>1795</v>
      </c>
      <c r="P117" s="2343" t="s">
        <v>1507</v>
      </c>
      <c r="Q117" s="2343" t="s">
        <v>1472</v>
      </c>
      <c r="R117" s="2343" t="s">
        <v>1555</v>
      </c>
      <c r="S117" s="2342" t="s">
        <v>1555</v>
      </c>
      <c r="T117" s="2342" t="s">
        <v>1555</v>
      </c>
      <c r="U117" s="2343" t="s">
        <v>1555</v>
      </c>
      <c r="V117" s="2343" t="s">
        <v>2354</v>
      </c>
      <c r="Y117" s="84"/>
      <c r="Z117" s="84"/>
    </row>
    <row r="118" spans="1:26" ht="36" customHeight="1">
      <c r="A118" s="2901"/>
      <c r="B118" s="2729"/>
      <c r="C118" s="2896"/>
      <c r="D118" s="1087" t="s">
        <v>1076</v>
      </c>
      <c r="E118" s="1573">
        <f>E117</f>
        <v>0.7</v>
      </c>
      <c r="F118" s="1514">
        <f t="shared" si="51"/>
        <v>0</v>
      </c>
      <c r="G118" s="1573">
        <f>G117</f>
        <v>1.1000000000000001</v>
      </c>
      <c r="H118" s="1575">
        <f>H117</f>
        <v>0.7</v>
      </c>
      <c r="I118" s="1060">
        <f t="shared" si="50"/>
        <v>0</v>
      </c>
      <c r="J118" s="1513">
        <f>J117</f>
        <v>0.7</v>
      </c>
      <c r="K118" s="1059">
        <f>K117</f>
        <v>0.7</v>
      </c>
      <c r="L118" s="1059">
        <f>L117</f>
        <v>0.7</v>
      </c>
      <c r="M118" s="1059">
        <f>M117</f>
        <v>0.7</v>
      </c>
      <c r="N118" s="2883"/>
      <c r="O118" s="2401"/>
      <c r="P118" s="2345"/>
      <c r="Q118" s="2345"/>
      <c r="R118" s="2345"/>
      <c r="S118" s="2342"/>
      <c r="T118" s="2342"/>
      <c r="U118" s="2344"/>
      <c r="V118" s="2345"/>
      <c r="Y118" s="84"/>
      <c r="Z118" s="84"/>
    </row>
    <row r="119" spans="1:26" ht="44.45" customHeight="1">
      <c r="A119" s="2727" t="s">
        <v>2131</v>
      </c>
      <c r="B119" s="2575" t="s">
        <v>1241</v>
      </c>
      <c r="C119" s="2881" t="s">
        <v>1080</v>
      </c>
      <c r="D119" s="1082" t="s">
        <v>471</v>
      </c>
      <c r="E119" s="1527">
        <v>45</v>
      </c>
      <c r="F119" s="1534">
        <f t="shared" si="51"/>
        <v>1.2666666666666666</v>
      </c>
      <c r="G119" s="1527"/>
      <c r="H119" s="1090">
        <v>102</v>
      </c>
      <c r="I119" s="1054">
        <f t="shared" si="50"/>
        <v>0.98754901960784314</v>
      </c>
      <c r="J119" s="1527">
        <f>SUM(J121,J122)</f>
        <v>127.565</v>
      </c>
      <c r="K119" s="1053">
        <f>SUM(K121,K122)</f>
        <v>202.73</v>
      </c>
      <c r="L119" s="1053">
        <f t="shared" ref="L119:M119" si="54">SUM(L121,L122)</f>
        <v>214.28</v>
      </c>
      <c r="M119" s="1053">
        <f t="shared" si="54"/>
        <v>214.279</v>
      </c>
      <c r="N119" s="2883"/>
      <c r="O119" s="2349" t="s">
        <v>3839</v>
      </c>
      <c r="P119" s="2342" t="s">
        <v>1508</v>
      </c>
      <c r="Q119" s="2342" t="s">
        <v>3389</v>
      </c>
      <c r="R119" s="2342" t="s">
        <v>1366</v>
      </c>
      <c r="S119" s="2342" t="s">
        <v>3390</v>
      </c>
      <c r="T119" s="2342" t="s">
        <v>3391</v>
      </c>
      <c r="U119" s="2342" t="s">
        <v>3391</v>
      </c>
      <c r="V119" s="2345"/>
      <c r="Y119" s="84"/>
      <c r="Z119" s="84"/>
    </row>
    <row r="120" spans="1:26" ht="33" customHeight="1">
      <c r="A120" s="2727"/>
      <c r="B120" s="2575"/>
      <c r="C120" s="2881"/>
      <c r="D120" s="1083" t="s">
        <v>1076</v>
      </c>
      <c r="E120" s="1513">
        <f>E119</f>
        <v>45</v>
      </c>
      <c r="F120" s="1514">
        <f t="shared" ref="F120:M120" si="55">F119</f>
        <v>1.2666666666666666</v>
      </c>
      <c r="G120" s="1513">
        <f t="shared" si="55"/>
        <v>0</v>
      </c>
      <c r="H120" s="1091">
        <f t="shared" si="55"/>
        <v>102</v>
      </c>
      <c r="I120" s="1530">
        <f t="shared" si="50"/>
        <v>0.98754901960784314</v>
      </c>
      <c r="J120" s="1531">
        <f t="shared" si="55"/>
        <v>127.565</v>
      </c>
      <c r="K120" s="1091">
        <f t="shared" si="55"/>
        <v>202.73</v>
      </c>
      <c r="L120" s="1091">
        <f t="shared" si="55"/>
        <v>214.28</v>
      </c>
      <c r="M120" s="1059">
        <f t="shared" si="55"/>
        <v>214.279</v>
      </c>
      <c r="N120" s="2883"/>
      <c r="O120" s="2401"/>
      <c r="P120" s="2342"/>
      <c r="Q120" s="2342"/>
      <c r="R120" s="2342"/>
      <c r="S120" s="2342"/>
      <c r="T120" s="2342"/>
      <c r="U120" s="2342"/>
      <c r="V120" s="2345"/>
      <c r="Y120" s="84"/>
      <c r="Z120" s="84"/>
    </row>
    <row r="121" spans="1:26" ht="27" hidden="1" customHeight="1">
      <c r="A121" s="1485"/>
      <c r="B121" s="1591" t="s">
        <v>2703</v>
      </c>
      <c r="C121" s="1597"/>
      <c r="D121" s="1446"/>
      <c r="E121" s="1598"/>
      <c r="F121" s="1599"/>
      <c r="G121" s="1598"/>
      <c r="H121" s="1474"/>
      <c r="I121" s="1005"/>
      <c r="J121" s="1598">
        <v>127.565</v>
      </c>
      <c r="K121" s="989">
        <v>95.13</v>
      </c>
      <c r="L121" s="989">
        <v>106.68</v>
      </c>
      <c r="M121" s="989">
        <v>106.679</v>
      </c>
      <c r="N121" s="2883"/>
      <c r="O121" s="1001"/>
      <c r="P121" s="1004"/>
      <c r="Q121" s="1004"/>
      <c r="R121" s="1004"/>
      <c r="S121" s="1004"/>
      <c r="T121" s="1004"/>
      <c r="U121" s="1004"/>
      <c r="V121" s="2345"/>
      <c r="Y121" s="84"/>
      <c r="Z121" s="84"/>
    </row>
    <row r="122" spans="1:26" ht="29.25" hidden="1" customHeight="1">
      <c r="A122" s="1485"/>
      <c r="B122" s="1591" t="s">
        <v>1447</v>
      </c>
      <c r="C122" s="1597"/>
      <c r="D122" s="1446"/>
      <c r="E122" s="1598"/>
      <c r="F122" s="1599"/>
      <c r="G122" s="1598"/>
      <c r="H122" s="1474"/>
      <c r="I122" s="1005"/>
      <c r="J122" s="1598"/>
      <c r="K122" s="989">
        <v>107.6</v>
      </c>
      <c r="L122" s="989">
        <v>107.6</v>
      </c>
      <c r="M122" s="989">
        <v>107.6</v>
      </c>
      <c r="N122" s="2883"/>
      <c r="O122" s="1001"/>
      <c r="P122" s="1004"/>
      <c r="Q122" s="1004"/>
      <c r="R122" s="1004"/>
      <c r="S122" s="1004"/>
      <c r="T122" s="1004"/>
      <c r="U122" s="1004"/>
      <c r="V122" s="2345"/>
      <c r="Y122" s="84"/>
      <c r="Z122" s="84"/>
    </row>
    <row r="123" spans="1:26" ht="29.25" customHeight="1">
      <c r="A123" s="2888" t="s">
        <v>2132</v>
      </c>
      <c r="B123" s="2575" t="s">
        <v>3398</v>
      </c>
      <c r="C123" s="2881">
        <v>188711925</v>
      </c>
      <c r="D123" s="1082" t="s">
        <v>471</v>
      </c>
      <c r="E123" s="1527"/>
      <c r="F123" s="1527"/>
      <c r="G123" s="1527">
        <v>0</v>
      </c>
      <c r="H123" s="1090"/>
      <c r="I123" s="1054"/>
      <c r="J123" s="1527"/>
      <c r="K123" s="1053"/>
      <c r="L123" s="1053"/>
      <c r="M123" s="1053"/>
      <c r="N123" s="2883"/>
      <c r="O123" s="2349" t="s">
        <v>3065</v>
      </c>
      <c r="P123" s="2343" t="s">
        <v>1509</v>
      </c>
      <c r="Q123" s="2343" t="s">
        <v>3066</v>
      </c>
      <c r="R123" s="2343" t="s">
        <v>3067</v>
      </c>
      <c r="S123" s="2342" t="s">
        <v>4014</v>
      </c>
      <c r="T123" s="2342" t="s">
        <v>4014</v>
      </c>
      <c r="U123" s="2342" t="s">
        <v>4014</v>
      </c>
      <c r="V123" s="2345"/>
      <c r="Y123" s="84"/>
      <c r="Z123" s="84"/>
    </row>
    <row r="124" spans="1:26" ht="27" hidden="1" customHeight="1">
      <c r="A124" s="2888"/>
      <c r="B124" s="2575"/>
      <c r="C124" s="2881"/>
      <c r="D124" s="1082" t="s">
        <v>1079</v>
      </c>
      <c r="E124" s="1596"/>
      <c r="F124" s="1596"/>
      <c r="G124" s="1596"/>
      <c r="H124" s="1131"/>
      <c r="I124" s="1600" t="e">
        <f t="shared" ref="I124:I159" si="56">K124/H124-1</f>
        <v>#DIV/0!</v>
      </c>
      <c r="J124" s="1596"/>
      <c r="K124" s="1053"/>
      <c r="L124" s="1053"/>
      <c r="M124" s="1053"/>
      <c r="N124" s="2883"/>
      <c r="O124" s="2880"/>
      <c r="P124" s="2345"/>
      <c r="Q124" s="2345"/>
      <c r="R124" s="2345"/>
      <c r="S124" s="2342"/>
      <c r="T124" s="2342"/>
      <c r="U124" s="2342"/>
      <c r="V124" s="2345"/>
      <c r="Y124" s="84"/>
      <c r="Z124" s="84"/>
    </row>
    <row r="125" spans="1:26" ht="25.5" customHeight="1">
      <c r="A125" s="2888"/>
      <c r="B125" s="2575"/>
      <c r="C125" s="2881"/>
      <c r="D125" s="1082" t="s">
        <v>246</v>
      </c>
      <c r="E125" s="1596"/>
      <c r="F125" s="1596"/>
      <c r="G125" s="1596"/>
      <c r="H125" s="1090">
        <v>6.7</v>
      </c>
      <c r="I125" s="1054">
        <f t="shared" si="56"/>
        <v>0.11940298507462677</v>
      </c>
      <c r="J125" s="1527">
        <v>7.5</v>
      </c>
      <c r="K125" s="1053">
        <v>7.5</v>
      </c>
      <c r="L125" s="1053">
        <v>7.5</v>
      </c>
      <c r="M125" s="1053"/>
      <c r="N125" s="2883"/>
      <c r="O125" s="2880"/>
      <c r="P125" s="2345"/>
      <c r="Q125" s="2345"/>
      <c r="R125" s="2345"/>
      <c r="S125" s="2342"/>
      <c r="T125" s="2342"/>
      <c r="U125" s="2342"/>
      <c r="V125" s="2345"/>
      <c r="Y125" s="84"/>
      <c r="Z125" s="84"/>
    </row>
    <row r="126" spans="1:26" ht="107.25" customHeight="1">
      <c r="A126" s="2888"/>
      <c r="B126" s="2575"/>
      <c r="C126" s="2881"/>
      <c r="D126" s="1083" t="s">
        <v>1076</v>
      </c>
      <c r="E126" s="1513">
        <f>E123</f>
        <v>0</v>
      </c>
      <c r="F126" s="1513">
        <f t="shared" ref="F126:G126" si="57">F123</f>
        <v>0</v>
      </c>
      <c r="G126" s="1513">
        <f t="shared" si="57"/>
        <v>0</v>
      </c>
      <c r="H126" s="1091">
        <f>H125</f>
        <v>6.7</v>
      </c>
      <c r="I126" s="1530">
        <f t="shared" si="56"/>
        <v>0.11940298507462677</v>
      </c>
      <c r="J126" s="1531">
        <f t="shared" ref="J126:M126" si="58">J125</f>
        <v>7.5</v>
      </c>
      <c r="K126" s="1091">
        <f t="shared" si="58"/>
        <v>7.5</v>
      </c>
      <c r="L126" s="1091">
        <f t="shared" si="58"/>
        <v>7.5</v>
      </c>
      <c r="M126" s="1059">
        <f t="shared" si="58"/>
        <v>0</v>
      </c>
      <c r="N126" s="2883"/>
      <c r="O126" s="2401"/>
      <c r="P126" s="2345"/>
      <c r="Q126" s="2345"/>
      <c r="R126" s="2345"/>
      <c r="S126" s="2342"/>
      <c r="T126" s="2342"/>
      <c r="U126" s="2342"/>
      <c r="V126" s="2344"/>
      <c r="Y126" s="84"/>
      <c r="Z126" s="84"/>
    </row>
    <row r="127" spans="1:26" ht="27.75" customHeight="1">
      <c r="A127" s="2727" t="s">
        <v>2133</v>
      </c>
      <c r="B127" s="2575" t="s">
        <v>1242</v>
      </c>
      <c r="C127" s="2881">
        <v>188711925</v>
      </c>
      <c r="D127" s="1082" t="s">
        <v>471</v>
      </c>
      <c r="E127" s="1527">
        <v>41.5</v>
      </c>
      <c r="F127" s="1534">
        <f>H127/E127-1</f>
        <v>1.4156626506024095</v>
      </c>
      <c r="G127" s="1527">
        <v>49.3</v>
      </c>
      <c r="H127" s="1090">
        <f>50.25+50</f>
        <v>100.25</v>
      </c>
      <c r="I127" s="1054">
        <f t="shared" si="56"/>
        <v>7.4812967581048273E-3</v>
      </c>
      <c r="J127" s="1527">
        <v>200</v>
      </c>
      <c r="K127" s="1053">
        <v>101</v>
      </c>
      <c r="L127" s="1053">
        <v>101</v>
      </c>
      <c r="M127" s="1053">
        <v>101</v>
      </c>
      <c r="N127" s="2894" t="s">
        <v>2349</v>
      </c>
      <c r="O127" s="2349" t="s">
        <v>2971</v>
      </c>
      <c r="P127" s="2343" t="s">
        <v>1510</v>
      </c>
      <c r="Q127" s="2343" t="s">
        <v>2972</v>
      </c>
      <c r="R127" s="2343" t="s">
        <v>324</v>
      </c>
      <c r="S127" s="2342" t="s">
        <v>324</v>
      </c>
      <c r="T127" s="2342" t="s">
        <v>324</v>
      </c>
      <c r="U127" s="2343" t="s">
        <v>324</v>
      </c>
      <c r="V127" s="2343" t="s">
        <v>2340</v>
      </c>
      <c r="Y127" s="84"/>
      <c r="Z127" s="84"/>
    </row>
    <row r="128" spans="1:26" ht="25.5" customHeight="1">
      <c r="A128" s="2901"/>
      <c r="B128" s="2575"/>
      <c r="C128" s="2882"/>
      <c r="D128" s="1082" t="s">
        <v>1389</v>
      </c>
      <c r="E128" s="1527">
        <v>91.7</v>
      </c>
      <c r="F128" s="1534">
        <f>H128/E128-1</f>
        <v>8.2878953107960784E-2</v>
      </c>
      <c r="G128" s="1527">
        <v>95.9</v>
      </c>
      <c r="H128" s="1090">
        <v>99.3</v>
      </c>
      <c r="I128" s="1054">
        <f t="shared" si="56"/>
        <v>0.45367573011077544</v>
      </c>
      <c r="J128" s="1527"/>
      <c r="K128" s="1053">
        <v>144.35</v>
      </c>
      <c r="L128" s="1053">
        <f>144.35+15.85</f>
        <v>160.19999999999999</v>
      </c>
      <c r="M128" s="1053">
        <f>144.35+16.05</f>
        <v>160.4</v>
      </c>
      <c r="N128" s="2907"/>
      <c r="O128" s="2880"/>
      <c r="P128" s="2345"/>
      <c r="Q128" s="2345"/>
      <c r="R128" s="2345"/>
      <c r="S128" s="2342"/>
      <c r="T128" s="2342"/>
      <c r="U128" s="2345"/>
      <c r="V128" s="2345"/>
      <c r="Y128" s="84"/>
      <c r="Z128" s="84"/>
    </row>
    <row r="129" spans="1:26" ht="25.5" customHeight="1">
      <c r="A129" s="2901"/>
      <c r="B129" s="2575"/>
      <c r="C129" s="2882"/>
      <c r="D129" s="1082" t="s">
        <v>3026</v>
      </c>
      <c r="E129" s="1527"/>
      <c r="F129" s="1534"/>
      <c r="G129" s="1527"/>
      <c r="H129" s="1090"/>
      <c r="I129" s="1601"/>
      <c r="J129" s="1602"/>
      <c r="K129" s="1090">
        <v>13.198</v>
      </c>
      <c r="L129" s="1090"/>
      <c r="M129" s="1053"/>
      <c r="N129" s="2907"/>
      <c r="O129" s="2880"/>
      <c r="P129" s="2345"/>
      <c r="Q129" s="2345"/>
      <c r="R129" s="2345"/>
      <c r="S129" s="2342"/>
      <c r="T129" s="2342"/>
      <c r="U129" s="2345"/>
      <c r="V129" s="2345"/>
      <c r="Y129" s="84"/>
      <c r="Z129" s="84"/>
    </row>
    <row r="130" spans="1:26" ht="28.5" customHeight="1">
      <c r="A130" s="2901"/>
      <c r="B130" s="2575"/>
      <c r="C130" s="2882"/>
      <c r="D130" s="1083" t="s">
        <v>1076</v>
      </c>
      <c r="E130" s="1513">
        <f>SUM(E127:E128)</f>
        <v>133.19999999999999</v>
      </c>
      <c r="F130" s="1514">
        <f>H130/E130-1</f>
        <v>0.49812312312312335</v>
      </c>
      <c r="G130" s="1513">
        <f t="shared" ref="G130:M130" si="59">SUM(G127:G128)</f>
        <v>145.19999999999999</v>
      </c>
      <c r="H130" s="1091">
        <f t="shared" si="59"/>
        <v>199.55</v>
      </c>
      <c r="I130" s="1530">
        <f t="shared" si="56"/>
        <v>0.29565522425457269</v>
      </c>
      <c r="J130" s="1531">
        <f t="shared" si="59"/>
        <v>200</v>
      </c>
      <c r="K130" s="1091">
        <f>SUM(K127:K129)</f>
        <v>258.548</v>
      </c>
      <c r="L130" s="1091">
        <f>SUM(L127:L128)</f>
        <v>261.2</v>
      </c>
      <c r="M130" s="1059">
        <f t="shared" si="59"/>
        <v>261.39999999999998</v>
      </c>
      <c r="N130" s="2907"/>
      <c r="O130" s="2401"/>
      <c r="P130" s="2345"/>
      <c r="Q130" s="2345"/>
      <c r="R130" s="2345"/>
      <c r="S130" s="2342"/>
      <c r="T130" s="2342"/>
      <c r="U130" s="2344"/>
      <c r="V130" s="2345"/>
      <c r="Y130" s="84"/>
      <c r="Z130" s="84"/>
    </row>
    <row r="131" spans="1:26" ht="26.25" customHeight="1">
      <c r="A131" s="2727" t="s">
        <v>3732</v>
      </c>
      <c r="B131" s="2575" t="s">
        <v>3733</v>
      </c>
      <c r="C131" s="2881">
        <v>188711925</v>
      </c>
      <c r="D131" s="1082" t="s">
        <v>2928</v>
      </c>
      <c r="E131" s="1527">
        <v>179.874</v>
      </c>
      <c r="F131" s="1534">
        <f t="shared" ref="F131" si="60">H131/E131-1</f>
        <v>-0.73592625949275603</v>
      </c>
      <c r="G131" s="1527">
        <v>47.5</v>
      </c>
      <c r="H131" s="1090">
        <v>47.5</v>
      </c>
      <c r="I131" s="1054">
        <f t="shared" si="56"/>
        <v>10.752884210526314</v>
      </c>
      <c r="J131" s="1527">
        <v>618.26199999999994</v>
      </c>
      <c r="K131" s="1053">
        <f>618.262-60</f>
        <v>558.26199999999994</v>
      </c>
      <c r="L131" s="1053"/>
      <c r="M131" s="1053"/>
      <c r="N131" s="2907"/>
      <c r="O131" s="2349" t="s">
        <v>3838</v>
      </c>
      <c r="P131" s="2343" t="s">
        <v>1819</v>
      </c>
      <c r="Q131" s="2343" t="s">
        <v>1818</v>
      </c>
      <c r="R131" s="947" t="s">
        <v>434</v>
      </c>
      <c r="S131" s="2343" t="s">
        <v>434</v>
      </c>
      <c r="T131" s="2343" t="s">
        <v>1820</v>
      </c>
      <c r="U131" s="2343" t="s">
        <v>434</v>
      </c>
      <c r="V131" s="2345"/>
      <c r="Y131" s="84"/>
      <c r="Z131" s="84"/>
    </row>
    <row r="132" spans="1:26" ht="27" customHeight="1">
      <c r="A132" s="2727"/>
      <c r="B132" s="2580"/>
      <c r="C132" s="2887"/>
      <c r="D132" s="1082" t="s">
        <v>471</v>
      </c>
      <c r="E132" s="1579"/>
      <c r="F132" s="1580"/>
      <c r="G132" s="1579"/>
      <c r="H132" s="1118"/>
      <c r="I132" s="1054"/>
      <c r="J132" s="1527">
        <v>0</v>
      </c>
      <c r="K132" s="1053">
        <v>60</v>
      </c>
      <c r="L132" s="1053"/>
      <c r="M132" s="1053"/>
      <c r="N132" s="2907"/>
      <c r="O132" s="2363"/>
      <c r="P132" s="2345"/>
      <c r="Q132" s="2345"/>
      <c r="R132" s="947"/>
      <c r="S132" s="2345"/>
      <c r="T132" s="2345"/>
      <c r="U132" s="2345"/>
      <c r="V132" s="2345"/>
      <c r="Y132" s="84"/>
      <c r="Z132" s="84"/>
    </row>
    <row r="133" spans="1:26" ht="25.5" customHeight="1">
      <c r="A133" s="2727"/>
      <c r="B133" s="2580"/>
      <c r="C133" s="2887"/>
      <c r="D133" s="1387" t="s">
        <v>1394</v>
      </c>
      <c r="E133" s="1579"/>
      <c r="F133" s="1603"/>
      <c r="G133" s="1579"/>
      <c r="H133" s="1118"/>
      <c r="I133" s="1604"/>
      <c r="J133" s="1527"/>
      <c r="K133" s="1053"/>
      <c r="L133" s="1053">
        <v>297.90699999999998</v>
      </c>
      <c r="M133" s="1053"/>
      <c r="N133" s="2907"/>
      <c r="O133" s="2363"/>
      <c r="P133" s="2344"/>
      <c r="Q133" s="2344"/>
      <c r="R133" s="947"/>
      <c r="S133" s="2344"/>
      <c r="T133" s="2344"/>
      <c r="U133" s="2344"/>
      <c r="V133" s="2345"/>
      <c r="Y133" s="84"/>
      <c r="Z133" s="84"/>
    </row>
    <row r="134" spans="1:26" ht="44.25" customHeight="1">
      <c r="A134" s="2727"/>
      <c r="B134" s="2580"/>
      <c r="C134" s="2887"/>
      <c r="D134" s="1387" t="s">
        <v>1122</v>
      </c>
      <c r="E134" s="1579"/>
      <c r="F134" s="1580"/>
      <c r="G134" s="1579"/>
      <c r="H134" s="1118"/>
      <c r="I134" s="1054"/>
      <c r="J134" s="1527"/>
      <c r="K134" s="1053"/>
      <c r="L134" s="1053"/>
      <c r="M134" s="1053"/>
      <c r="N134" s="2907"/>
      <c r="O134" s="2363"/>
      <c r="P134" s="947" t="s">
        <v>1511</v>
      </c>
      <c r="Q134" s="947" t="s">
        <v>1821</v>
      </c>
      <c r="R134" s="947" t="s">
        <v>434</v>
      </c>
      <c r="S134" s="947" t="s">
        <v>434</v>
      </c>
      <c r="T134" s="947" t="s">
        <v>1820</v>
      </c>
      <c r="U134" s="947" t="s">
        <v>434</v>
      </c>
      <c r="V134" s="2345"/>
      <c r="Y134" s="84"/>
      <c r="Z134" s="84"/>
    </row>
    <row r="135" spans="1:26" ht="69.75" customHeight="1">
      <c r="A135" s="2727"/>
      <c r="B135" s="2580"/>
      <c r="C135" s="2887"/>
      <c r="D135" s="1111" t="s">
        <v>246</v>
      </c>
      <c r="E135" s="1579"/>
      <c r="F135" s="1580"/>
      <c r="G135" s="1579">
        <v>212.5</v>
      </c>
      <c r="H135" s="1118">
        <v>212.5</v>
      </c>
      <c r="I135" s="1054">
        <f t="shared" si="56"/>
        <v>1.7614729411764705</v>
      </c>
      <c r="J135" s="1527">
        <v>586.81299999999999</v>
      </c>
      <c r="K135" s="1053">
        <v>586.81299999999999</v>
      </c>
      <c r="L135" s="1053">
        <v>222.797</v>
      </c>
      <c r="M135" s="1053"/>
      <c r="N135" s="2907"/>
      <c r="O135" s="2363"/>
      <c r="P135" s="2343" t="s">
        <v>1824</v>
      </c>
      <c r="Q135" s="947" t="s">
        <v>2819</v>
      </c>
      <c r="R135" s="947" t="s">
        <v>434</v>
      </c>
      <c r="S135" s="947" t="s">
        <v>434</v>
      </c>
      <c r="T135" s="947" t="s">
        <v>404</v>
      </c>
      <c r="U135" s="947" t="s">
        <v>434</v>
      </c>
      <c r="V135" s="2345"/>
      <c r="Y135" s="84"/>
      <c r="Z135" s="84"/>
    </row>
    <row r="136" spans="1:26" ht="27.75" customHeight="1">
      <c r="A136" s="2901"/>
      <c r="B136" s="2580"/>
      <c r="C136" s="2896"/>
      <c r="D136" s="1087" t="s">
        <v>1076</v>
      </c>
      <c r="E136" s="1573">
        <f t="shared" ref="E136:M136" si="61">SUM(E131:E135)</f>
        <v>179.874</v>
      </c>
      <c r="F136" s="1574">
        <f t="shared" si="61"/>
        <v>-0.73592625949275603</v>
      </c>
      <c r="G136" s="1573">
        <f t="shared" si="61"/>
        <v>260</v>
      </c>
      <c r="H136" s="1575">
        <f t="shared" si="61"/>
        <v>260</v>
      </c>
      <c r="I136" s="1576">
        <f t="shared" si="56"/>
        <v>3.6349038461538452</v>
      </c>
      <c r="J136" s="1577">
        <f>SUM(J131:J135)</f>
        <v>1205.0749999999998</v>
      </c>
      <c r="K136" s="1575">
        <f>SUM(K131:K135)</f>
        <v>1205.0749999999998</v>
      </c>
      <c r="L136" s="1575">
        <f>SUM(L131:L135)</f>
        <v>520.70399999999995</v>
      </c>
      <c r="M136" s="1059">
        <f t="shared" si="61"/>
        <v>0</v>
      </c>
      <c r="N136" s="2895"/>
      <c r="O136" s="2401"/>
      <c r="P136" s="2344"/>
      <c r="Q136" s="947" t="s">
        <v>1822</v>
      </c>
      <c r="R136" s="947" t="s">
        <v>434</v>
      </c>
      <c r="S136" s="947" t="s">
        <v>434</v>
      </c>
      <c r="T136" s="947" t="s">
        <v>1823</v>
      </c>
      <c r="U136" s="947" t="s">
        <v>434</v>
      </c>
      <c r="V136" s="2344"/>
      <c r="Y136" s="84"/>
      <c r="Z136" s="84"/>
    </row>
    <row r="137" spans="1:26" ht="48" hidden="1" customHeight="1">
      <c r="A137" s="2888" t="s">
        <v>2134</v>
      </c>
      <c r="B137" s="2575" t="s">
        <v>1243</v>
      </c>
      <c r="C137" s="2881">
        <v>188711925</v>
      </c>
      <c r="D137" s="1082" t="s">
        <v>471</v>
      </c>
      <c r="E137" s="1527"/>
      <c r="F137" s="1527"/>
      <c r="G137" s="1527"/>
      <c r="H137" s="1090"/>
      <c r="I137" s="1054" t="e">
        <f t="shared" si="56"/>
        <v>#DIV/0!</v>
      </c>
      <c r="J137" s="1527"/>
      <c r="K137" s="1053"/>
      <c r="L137" s="1053"/>
      <c r="M137" s="1053"/>
      <c r="N137" s="937"/>
      <c r="O137" s="2726" t="s">
        <v>2403</v>
      </c>
      <c r="P137" s="2354" t="s">
        <v>1512</v>
      </c>
      <c r="Q137" s="2343"/>
      <c r="R137" s="2343"/>
      <c r="S137" s="2342"/>
      <c r="T137" s="2342"/>
      <c r="U137" s="947"/>
      <c r="V137" s="997" t="s">
        <v>2354</v>
      </c>
      <c r="Y137" s="84"/>
      <c r="Z137" s="84"/>
    </row>
    <row r="138" spans="1:26" ht="48" hidden="1" customHeight="1">
      <c r="A138" s="2888"/>
      <c r="B138" s="2575"/>
      <c r="C138" s="2881"/>
      <c r="D138" s="1083" t="s">
        <v>1076</v>
      </c>
      <c r="E138" s="1513">
        <f>E137</f>
        <v>0</v>
      </c>
      <c r="F138" s="1513">
        <f t="shared" ref="F138:L138" si="62">F137</f>
        <v>0</v>
      </c>
      <c r="G138" s="1513">
        <f t="shared" si="62"/>
        <v>0</v>
      </c>
      <c r="H138" s="1091">
        <f t="shared" si="62"/>
        <v>0</v>
      </c>
      <c r="I138" s="1060" t="e">
        <f t="shared" si="56"/>
        <v>#DIV/0!</v>
      </c>
      <c r="J138" s="1513"/>
      <c r="K138" s="1059">
        <f t="shared" si="62"/>
        <v>0</v>
      </c>
      <c r="L138" s="1059">
        <f t="shared" si="62"/>
        <v>0</v>
      </c>
      <c r="M138" s="1059"/>
      <c r="N138" s="938"/>
      <c r="O138" s="2930"/>
      <c r="P138" s="2617"/>
      <c r="Q138" s="2345"/>
      <c r="R138" s="2345"/>
      <c r="S138" s="2342"/>
      <c r="T138" s="2342"/>
      <c r="U138" s="947"/>
      <c r="V138" s="955"/>
      <c r="Y138" s="84"/>
      <c r="Z138" s="84"/>
    </row>
    <row r="139" spans="1:26" ht="27" customHeight="1">
      <c r="A139" s="2727" t="s">
        <v>2746</v>
      </c>
      <c r="B139" s="2575" t="s">
        <v>2744</v>
      </c>
      <c r="C139" s="2881">
        <v>190230824</v>
      </c>
      <c r="D139" s="1082" t="s">
        <v>471</v>
      </c>
      <c r="E139" s="1527"/>
      <c r="F139" s="1534"/>
      <c r="G139" s="1527"/>
      <c r="H139" s="1090"/>
      <c r="I139" s="1054"/>
      <c r="J139" s="1527">
        <v>13</v>
      </c>
      <c r="K139" s="1053">
        <v>0</v>
      </c>
      <c r="L139" s="1053">
        <v>0</v>
      </c>
      <c r="M139" s="1053">
        <v>0</v>
      </c>
      <c r="N139" s="2883" t="s">
        <v>2401</v>
      </c>
      <c r="O139" s="2349" t="s">
        <v>1453</v>
      </c>
      <c r="P139" s="2343" t="s">
        <v>1513</v>
      </c>
      <c r="Q139" s="2343" t="s">
        <v>1474</v>
      </c>
      <c r="R139" s="2343" t="s">
        <v>1475</v>
      </c>
      <c r="S139" s="2342" t="s">
        <v>1468</v>
      </c>
      <c r="T139" s="2342" t="s">
        <v>1468</v>
      </c>
      <c r="U139" s="2343" t="s">
        <v>1468</v>
      </c>
      <c r="V139" s="2345" t="s">
        <v>4197</v>
      </c>
      <c r="Y139" s="84"/>
      <c r="Z139" s="84"/>
    </row>
    <row r="140" spans="1:26" ht="30" customHeight="1">
      <c r="A140" s="2727"/>
      <c r="B140" s="2575"/>
      <c r="C140" s="2881"/>
      <c r="D140" s="1082" t="s">
        <v>246</v>
      </c>
      <c r="E140" s="1596"/>
      <c r="F140" s="1606"/>
      <c r="G140" s="1596"/>
      <c r="H140" s="1090">
        <v>45.8</v>
      </c>
      <c r="I140" s="1054">
        <f t="shared" si="56"/>
        <v>0.35371179039301315</v>
      </c>
      <c r="J140" s="1527">
        <v>65</v>
      </c>
      <c r="K140" s="1053">
        <v>62</v>
      </c>
      <c r="L140" s="1053">
        <v>63</v>
      </c>
      <c r="M140" s="1053">
        <v>63</v>
      </c>
      <c r="N140" s="2883"/>
      <c r="O140" s="2880"/>
      <c r="P140" s="2345"/>
      <c r="Q140" s="2345"/>
      <c r="R140" s="2345"/>
      <c r="S140" s="2342"/>
      <c r="T140" s="2342"/>
      <c r="U140" s="2345"/>
      <c r="V140" s="2345"/>
      <c r="Y140" s="84"/>
      <c r="Z140" s="84"/>
    </row>
    <row r="141" spans="1:26" ht="26.25" customHeight="1">
      <c r="A141" s="2727"/>
      <c r="B141" s="2575"/>
      <c r="C141" s="2881"/>
      <c r="D141" s="1082" t="s">
        <v>1122</v>
      </c>
      <c r="E141" s="1527">
        <v>12.34</v>
      </c>
      <c r="F141" s="1534">
        <f t="shared" ref="F141:F143" si="63">H141/E141-1</f>
        <v>1.296596434359798E-2</v>
      </c>
      <c r="G141" s="1596"/>
      <c r="H141" s="1090">
        <v>12.5</v>
      </c>
      <c r="I141" s="1054">
        <f t="shared" si="56"/>
        <v>0.1120000000000001</v>
      </c>
      <c r="J141" s="1527">
        <v>0</v>
      </c>
      <c r="K141" s="1053">
        <v>13.9</v>
      </c>
      <c r="L141" s="1053">
        <v>13.9</v>
      </c>
      <c r="M141" s="1053">
        <v>13.9</v>
      </c>
      <c r="N141" s="2883"/>
      <c r="O141" s="2880"/>
      <c r="P141" s="2345"/>
      <c r="Q141" s="2345"/>
      <c r="R141" s="2345"/>
      <c r="S141" s="2342"/>
      <c r="T141" s="2342"/>
      <c r="U141" s="2345"/>
      <c r="V141" s="2345"/>
      <c r="Y141" s="84"/>
      <c r="Z141" s="84"/>
    </row>
    <row r="142" spans="1:26" ht="27" customHeight="1">
      <c r="A142" s="2727"/>
      <c r="B142" s="2575"/>
      <c r="C142" s="2881"/>
      <c r="D142" s="1082" t="s">
        <v>413</v>
      </c>
      <c r="E142" s="1596"/>
      <c r="F142" s="1606"/>
      <c r="G142" s="1596"/>
      <c r="H142" s="1090">
        <v>10.199999999999999</v>
      </c>
      <c r="I142" s="1054">
        <f t="shared" si="56"/>
        <v>7.8431372549019773E-2</v>
      </c>
      <c r="J142" s="1527">
        <v>11</v>
      </c>
      <c r="K142" s="1053">
        <v>11</v>
      </c>
      <c r="L142" s="1053">
        <v>12</v>
      </c>
      <c r="M142" s="1053">
        <v>12</v>
      </c>
      <c r="N142" s="2883"/>
      <c r="O142" s="2880"/>
      <c r="P142" s="2345"/>
      <c r="Q142" s="2345"/>
      <c r="R142" s="2345"/>
      <c r="S142" s="2342"/>
      <c r="T142" s="2342"/>
      <c r="U142" s="2345"/>
      <c r="V142" s="2345"/>
      <c r="Y142" s="84"/>
      <c r="Z142" s="84"/>
    </row>
    <row r="143" spans="1:26" ht="37.5" customHeight="1">
      <c r="A143" s="2727"/>
      <c r="B143" s="2575"/>
      <c r="C143" s="2881"/>
      <c r="D143" s="1083" t="s">
        <v>1076</v>
      </c>
      <c r="E143" s="1513">
        <f>SUM(E139:E141)</f>
        <v>12.34</v>
      </c>
      <c r="F143" s="1514">
        <f t="shared" si="63"/>
        <v>4.5510534846029174</v>
      </c>
      <c r="G143" s="1513">
        <f t="shared" ref="G143" si="64">SUM(G139:G141)</f>
        <v>0</v>
      </c>
      <c r="H143" s="1091">
        <f>SUM(H139:H142)</f>
        <v>68.5</v>
      </c>
      <c r="I143" s="1530">
        <f t="shared" si="56"/>
        <v>0.26861313868613146</v>
      </c>
      <c r="J143" s="1531">
        <f>SUM(J139:J142)</f>
        <v>89</v>
      </c>
      <c r="K143" s="1091">
        <f t="shared" ref="K143" si="65">SUM(K139:K142)</f>
        <v>86.9</v>
      </c>
      <c r="L143" s="1091">
        <f>SUM(L139:L142)</f>
        <v>88.9</v>
      </c>
      <c r="M143" s="1059">
        <f>SUM(M139:M142)</f>
        <v>88.9</v>
      </c>
      <c r="N143" s="2883"/>
      <c r="O143" s="2401"/>
      <c r="P143" s="2345"/>
      <c r="Q143" s="2345"/>
      <c r="R143" s="2345"/>
      <c r="S143" s="2342"/>
      <c r="T143" s="2342"/>
      <c r="U143" s="2344"/>
      <c r="V143" s="2345"/>
      <c r="Y143" s="84"/>
      <c r="Z143" s="84"/>
    </row>
    <row r="144" spans="1:26" ht="27" customHeight="1">
      <c r="A144" s="2727" t="s">
        <v>2135</v>
      </c>
      <c r="B144" s="2575" t="s">
        <v>1244</v>
      </c>
      <c r="C144" s="2881">
        <v>188711925</v>
      </c>
      <c r="D144" s="1082" t="s">
        <v>471</v>
      </c>
      <c r="E144" s="1053"/>
      <c r="F144" s="1053"/>
      <c r="G144" s="1053"/>
      <c r="H144" s="1090"/>
      <c r="I144" s="1054"/>
      <c r="J144" s="1527"/>
      <c r="K144" s="1053"/>
      <c r="L144" s="1053"/>
      <c r="M144" s="1053"/>
      <c r="N144" s="2402" t="s">
        <v>2346</v>
      </c>
      <c r="O144" s="2349" t="s">
        <v>1454</v>
      </c>
      <c r="P144" s="2343" t="s">
        <v>1514</v>
      </c>
      <c r="Q144" s="2343"/>
      <c r="R144" s="2343"/>
      <c r="S144" s="2342"/>
      <c r="T144" s="2342"/>
      <c r="U144" s="2343"/>
      <c r="V144" s="2345"/>
      <c r="Y144" s="84"/>
      <c r="Z144" s="84"/>
    </row>
    <row r="145" spans="1:26" ht="37.5" customHeight="1">
      <c r="A145" s="2727"/>
      <c r="B145" s="2575"/>
      <c r="C145" s="2881"/>
      <c r="D145" s="1083" t="s">
        <v>1076</v>
      </c>
      <c r="E145" s="1059">
        <f>E144</f>
        <v>0</v>
      </c>
      <c r="F145" s="1059">
        <f t="shared" ref="F145:M145" si="66">F144</f>
        <v>0</v>
      </c>
      <c r="G145" s="1059">
        <f t="shared" si="66"/>
        <v>0</v>
      </c>
      <c r="H145" s="1091">
        <f t="shared" si="66"/>
        <v>0</v>
      </c>
      <c r="I145" s="1060"/>
      <c r="J145" s="1513"/>
      <c r="K145" s="1059">
        <f t="shared" si="66"/>
        <v>0</v>
      </c>
      <c r="L145" s="1059">
        <f t="shared" si="66"/>
        <v>0</v>
      </c>
      <c r="M145" s="1059">
        <f t="shared" si="66"/>
        <v>0</v>
      </c>
      <c r="N145" s="2863"/>
      <c r="O145" s="2401"/>
      <c r="P145" s="2345"/>
      <c r="Q145" s="2345"/>
      <c r="R145" s="2345"/>
      <c r="S145" s="2342"/>
      <c r="T145" s="2342"/>
      <c r="U145" s="2344"/>
      <c r="V145" s="2345"/>
      <c r="Y145" s="84"/>
      <c r="Z145" s="84"/>
    </row>
    <row r="146" spans="1:26" ht="57" customHeight="1">
      <c r="A146" s="2727" t="s">
        <v>2136</v>
      </c>
      <c r="B146" s="2575" t="s">
        <v>1245</v>
      </c>
      <c r="C146" s="2881">
        <v>188711925</v>
      </c>
      <c r="D146" s="1082" t="s">
        <v>471</v>
      </c>
      <c r="E146" s="1527">
        <v>12</v>
      </c>
      <c r="F146" s="1534">
        <f t="shared" ref="F146:F151" si="67">H146/E146-1</f>
        <v>0</v>
      </c>
      <c r="G146" s="1527">
        <v>12</v>
      </c>
      <c r="H146" s="1090">
        <v>12</v>
      </c>
      <c r="I146" s="1054">
        <f t="shared" si="56"/>
        <v>0</v>
      </c>
      <c r="J146" s="1527">
        <v>12</v>
      </c>
      <c r="K146" s="1053">
        <v>12</v>
      </c>
      <c r="L146" s="1053">
        <v>12</v>
      </c>
      <c r="M146" s="1053">
        <v>12</v>
      </c>
      <c r="N146" s="2863"/>
      <c r="O146" s="2349" t="s">
        <v>1796</v>
      </c>
      <c r="P146" s="2343" t="s">
        <v>1515</v>
      </c>
      <c r="Q146" s="2343" t="s">
        <v>1477</v>
      </c>
      <c r="R146" s="2343" t="s">
        <v>1340</v>
      </c>
      <c r="S146" s="2342" t="s">
        <v>1340</v>
      </c>
      <c r="T146" s="2342" t="s">
        <v>1340</v>
      </c>
      <c r="U146" s="2343" t="s">
        <v>1340</v>
      </c>
      <c r="V146" s="2345"/>
      <c r="Y146" s="84"/>
      <c r="Z146" s="84"/>
    </row>
    <row r="147" spans="1:26" ht="45.75" customHeight="1">
      <c r="A147" s="2727"/>
      <c r="B147" s="2575"/>
      <c r="C147" s="2881"/>
      <c r="D147" s="1083" t="s">
        <v>1076</v>
      </c>
      <c r="E147" s="1513">
        <f>E146</f>
        <v>12</v>
      </c>
      <c r="F147" s="1513">
        <f t="shared" si="67"/>
        <v>0</v>
      </c>
      <c r="G147" s="1513">
        <f t="shared" ref="G147:M147" si="68">G146</f>
        <v>12</v>
      </c>
      <c r="H147" s="1091">
        <f t="shared" si="68"/>
        <v>12</v>
      </c>
      <c r="I147" s="1530">
        <f t="shared" si="56"/>
        <v>0</v>
      </c>
      <c r="J147" s="1531">
        <f t="shared" si="68"/>
        <v>12</v>
      </c>
      <c r="K147" s="1091">
        <f t="shared" si="68"/>
        <v>12</v>
      </c>
      <c r="L147" s="1091">
        <f t="shared" si="68"/>
        <v>12</v>
      </c>
      <c r="M147" s="1059">
        <f t="shared" si="68"/>
        <v>12</v>
      </c>
      <c r="N147" s="2863"/>
      <c r="O147" s="2401"/>
      <c r="P147" s="2345"/>
      <c r="Q147" s="2345"/>
      <c r="R147" s="2345"/>
      <c r="S147" s="2342"/>
      <c r="T147" s="2342"/>
      <c r="U147" s="2344"/>
      <c r="V147" s="2345"/>
      <c r="Y147" s="84"/>
      <c r="Z147" s="84"/>
    </row>
    <row r="148" spans="1:26" ht="30" customHeight="1">
      <c r="A148" s="2727" t="s">
        <v>2137</v>
      </c>
      <c r="B148" s="2575" t="s">
        <v>1246</v>
      </c>
      <c r="C148" s="2881">
        <v>188711925</v>
      </c>
      <c r="D148" s="1082" t="s">
        <v>471</v>
      </c>
      <c r="E148" s="1527"/>
      <c r="F148" s="1527"/>
      <c r="G148" s="1527"/>
      <c r="H148" s="1090"/>
      <c r="I148" s="1054"/>
      <c r="J148" s="1527"/>
      <c r="K148" s="1053"/>
      <c r="L148" s="1053"/>
      <c r="M148" s="1053"/>
      <c r="N148" s="2863"/>
      <c r="O148" s="2349" t="s">
        <v>1455</v>
      </c>
      <c r="P148" s="2343" t="s">
        <v>1516</v>
      </c>
      <c r="Q148" s="2343" t="s">
        <v>1478</v>
      </c>
      <c r="R148" s="2343" t="s">
        <v>433</v>
      </c>
      <c r="S148" s="2342" t="s">
        <v>433</v>
      </c>
      <c r="T148" s="2342" t="s">
        <v>433</v>
      </c>
      <c r="U148" s="2343" t="s">
        <v>433</v>
      </c>
      <c r="V148" s="2345"/>
      <c r="Y148" s="84"/>
      <c r="Z148" s="84"/>
    </row>
    <row r="149" spans="1:26" ht="27.75" customHeight="1">
      <c r="A149" s="2727"/>
      <c r="B149" s="2575"/>
      <c r="C149" s="2881"/>
      <c r="D149" s="1082" t="s">
        <v>1448</v>
      </c>
      <c r="E149" s="1527">
        <v>11.54</v>
      </c>
      <c r="F149" s="1534">
        <f t="shared" si="67"/>
        <v>-0.5164644714038128</v>
      </c>
      <c r="G149" s="1596"/>
      <c r="H149" s="1090">
        <v>5.58</v>
      </c>
      <c r="I149" s="1054">
        <f t="shared" si="56"/>
        <v>1.3781362007168458</v>
      </c>
      <c r="J149" s="1527"/>
      <c r="K149" s="1053">
        <v>13.27</v>
      </c>
      <c r="L149" s="1053">
        <v>13.27</v>
      </c>
      <c r="M149" s="1053">
        <v>13.27</v>
      </c>
      <c r="N149" s="2863"/>
      <c r="O149" s="2880"/>
      <c r="P149" s="2345"/>
      <c r="Q149" s="2345"/>
      <c r="R149" s="2345"/>
      <c r="S149" s="2342"/>
      <c r="T149" s="2342"/>
      <c r="U149" s="2345"/>
      <c r="V149" s="2345"/>
      <c r="Y149" s="84"/>
      <c r="Z149" s="84"/>
    </row>
    <row r="150" spans="1:26" ht="28.5" customHeight="1">
      <c r="A150" s="2727"/>
      <c r="B150" s="2575"/>
      <c r="C150" s="2881"/>
      <c r="D150" s="1082" t="s">
        <v>1122</v>
      </c>
      <c r="E150" s="1527">
        <v>5.7</v>
      </c>
      <c r="F150" s="1534">
        <f t="shared" si="67"/>
        <v>-1</v>
      </c>
      <c r="G150" s="1596"/>
      <c r="H150" s="1090">
        <f>H152</f>
        <v>0</v>
      </c>
      <c r="I150" s="1054"/>
      <c r="J150" s="1527"/>
      <c r="K150" s="1053"/>
      <c r="L150" s="1053"/>
      <c r="M150" s="1053"/>
      <c r="N150" s="2863"/>
      <c r="O150" s="2880"/>
      <c r="P150" s="2345"/>
      <c r="Q150" s="2345"/>
      <c r="R150" s="2345"/>
      <c r="S150" s="2342"/>
      <c r="T150" s="2342"/>
      <c r="U150" s="2345"/>
      <c r="V150" s="2345"/>
      <c r="Y150" s="84"/>
      <c r="Z150" s="84"/>
    </row>
    <row r="151" spans="1:26" ht="29.25" customHeight="1">
      <c r="A151" s="2727"/>
      <c r="B151" s="2575"/>
      <c r="C151" s="2881"/>
      <c r="D151" s="1083" t="s">
        <v>1076</v>
      </c>
      <c r="E151" s="1513">
        <f>SUM(E148:E150)</f>
        <v>17.239999999999998</v>
      </c>
      <c r="F151" s="1514">
        <f t="shared" si="67"/>
        <v>-0.67633410672853822</v>
      </c>
      <c r="G151" s="1513">
        <f t="shared" ref="G151:M151" si="69">SUM(G148:G150)</f>
        <v>0</v>
      </c>
      <c r="H151" s="1091">
        <f t="shared" si="69"/>
        <v>5.58</v>
      </c>
      <c r="I151" s="1530">
        <f t="shared" si="56"/>
        <v>1.3781362007168458</v>
      </c>
      <c r="J151" s="1531">
        <f t="shared" si="69"/>
        <v>0</v>
      </c>
      <c r="K151" s="1091">
        <f t="shared" si="69"/>
        <v>13.27</v>
      </c>
      <c r="L151" s="1091">
        <f t="shared" si="69"/>
        <v>13.27</v>
      </c>
      <c r="M151" s="1059">
        <f t="shared" si="69"/>
        <v>13.27</v>
      </c>
      <c r="N151" s="2863"/>
      <c r="O151" s="2880"/>
      <c r="P151" s="2345"/>
      <c r="Q151" s="2345"/>
      <c r="R151" s="2345"/>
      <c r="S151" s="2342"/>
      <c r="T151" s="2342"/>
      <c r="U151" s="2344"/>
      <c r="V151" s="2345"/>
      <c r="Y151" s="84"/>
      <c r="Z151" s="84"/>
    </row>
    <row r="152" spans="1:26" ht="48" hidden="1" customHeight="1">
      <c r="A152" s="1485"/>
      <c r="B152" s="966" t="s">
        <v>1449</v>
      </c>
      <c r="C152" s="1597"/>
      <c r="D152" s="1446" t="s">
        <v>1122</v>
      </c>
      <c r="E152" s="1598">
        <v>5.7</v>
      </c>
      <c r="F152" s="1598"/>
      <c r="G152" s="1598"/>
      <c r="H152" s="1474">
        <v>0</v>
      </c>
      <c r="I152" s="1126" t="e">
        <f t="shared" si="56"/>
        <v>#DIV/0!</v>
      </c>
      <c r="J152" s="1598"/>
      <c r="K152" s="1005"/>
      <c r="L152" s="1005"/>
      <c r="M152" s="1005"/>
      <c r="N152" s="2863"/>
      <c r="O152" s="1001"/>
      <c r="P152" s="1004"/>
      <c r="Q152" s="1004"/>
      <c r="R152" s="1004"/>
      <c r="S152" s="1004"/>
      <c r="T152" s="1004"/>
      <c r="U152" s="1004"/>
      <c r="V152" s="2345"/>
      <c r="Y152" s="84"/>
      <c r="Z152" s="84"/>
    </row>
    <row r="153" spans="1:26" ht="33.75" customHeight="1">
      <c r="A153" s="2727" t="s">
        <v>2138</v>
      </c>
      <c r="B153" s="2575" t="s">
        <v>4155</v>
      </c>
      <c r="C153" s="2881">
        <v>300079075</v>
      </c>
      <c r="D153" s="1082" t="s">
        <v>471</v>
      </c>
      <c r="E153" s="1527"/>
      <c r="F153" s="1527"/>
      <c r="G153" s="1527"/>
      <c r="H153" s="1090"/>
      <c r="I153" s="1054"/>
      <c r="J153" s="1527"/>
      <c r="K153" s="1053"/>
      <c r="L153" s="1053"/>
      <c r="M153" s="1053"/>
      <c r="N153" s="2863"/>
      <c r="O153" s="2349" t="s">
        <v>2973</v>
      </c>
      <c r="P153" s="2343" t="s">
        <v>1517</v>
      </c>
      <c r="Q153" s="2343" t="s">
        <v>1479</v>
      </c>
      <c r="R153" s="2343" t="s">
        <v>1466</v>
      </c>
      <c r="S153" s="2342" t="s">
        <v>434</v>
      </c>
      <c r="T153" s="2342" t="s">
        <v>434</v>
      </c>
      <c r="U153" s="2343" t="s">
        <v>434</v>
      </c>
      <c r="V153" s="2345"/>
      <c r="Y153" s="84"/>
      <c r="Z153" s="84"/>
    </row>
    <row r="154" spans="1:26" ht="33" customHeight="1">
      <c r="A154" s="2727"/>
      <c r="B154" s="2575"/>
      <c r="C154" s="2881"/>
      <c r="D154" s="1082" t="s">
        <v>1122</v>
      </c>
      <c r="E154" s="1527">
        <v>38.725000000000001</v>
      </c>
      <c r="F154" s="1596"/>
      <c r="G154" s="1596"/>
      <c r="H154" s="1090">
        <f>22.053+2.098</f>
        <v>24.151</v>
      </c>
      <c r="I154" s="1054">
        <f t="shared" si="56"/>
        <v>-0.97929692352283548</v>
      </c>
      <c r="J154" s="1527"/>
      <c r="K154" s="1053">
        <v>0.5</v>
      </c>
      <c r="L154" s="1053"/>
      <c r="M154" s="1053"/>
      <c r="N154" s="2863"/>
      <c r="O154" s="2880"/>
      <c r="P154" s="2345"/>
      <c r="Q154" s="2345"/>
      <c r="R154" s="2345"/>
      <c r="S154" s="2342"/>
      <c r="T154" s="2342"/>
      <c r="U154" s="2345"/>
      <c r="V154" s="2345"/>
      <c r="Y154" s="84"/>
      <c r="Z154" s="84"/>
    </row>
    <row r="155" spans="1:26" ht="36.75" customHeight="1">
      <c r="A155" s="2807"/>
      <c r="B155" s="2580"/>
      <c r="C155" s="2887"/>
      <c r="D155" s="1087" t="s">
        <v>1076</v>
      </c>
      <c r="E155" s="1573">
        <f>SUM(E153:E154)</f>
        <v>38.725000000000001</v>
      </c>
      <c r="F155" s="1573">
        <f t="shared" ref="F155:M155" si="70">SUM(F153:F154)</f>
        <v>0</v>
      </c>
      <c r="G155" s="1573">
        <f t="shared" si="70"/>
        <v>0</v>
      </c>
      <c r="H155" s="1575">
        <f t="shared" si="70"/>
        <v>24.151</v>
      </c>
      <c r="I155" s="1576">
        <f t="shared" si="56"/>
        <v>-0.97929692352283548</v>
      </c>
      <c r="J155" s="1577">
        <f t="shared" si="70"/>
        <v>0</v>
      </c>
      <c r="K155" s="1575">
        <f t="shared" si="70"/>
        <v>0.5</v>
      </c>
      <c r="L155" s="1575">
        <f t="shared" si="70"/>
        <v>0</v>
      </c>
      <c r="M155" s="1089">
        <f t="shared" si="70"/>
        <v>0</v>
      </c>
      <c r="N155" s="2403"/>
      <c r="O155" s="2880"/>
      <c r="P155" s="2345"/>
      <c r="Q155" s="2345"/>
      <c r="R155" s="2345"/>
      <c r="S155" s="2343"/>
      <c r="T155" s="2343"/>
      <c r="U155" s="2345"/>
      <c r="V155" s="2345"/>
      <c r="Y155" s="84"/>
      <c r="Z155" s="84"/>
    </row>
    <row r="156" spans="1:26" ht="33.75" customHeight="1">
      <c r="A156" s="2872" t="s">
        <v>2139</v>
      </c>
      <c r="B156" s="2872" t="s">
        <v>1247</v>
      </c>
      <c r="C156" s="2873"/>
      <c r="D156" s="2873"/>
      <c r="E156" s="1507">
        <f>SUM(E159,E164,E177,E184,E188,E192,E200,E206,E211,E221,E225,E232,E237,E254,)</f>
        <v>991.94299999999998</v>
      </c>
      <c r="F156" s="1508">
        <f t="shared" ref="F156:F158" si="71">H156/E156-1</f>
        <v>1.6915286463032642E-2</v>
      </c>
      <c r="G156" s="1507">
        <f>SUM(G159,G164,G177,G184,G188,G192,G200,G206,G211,G221,G225,G232,G237,G254,)</f>
        <v>671.97</v>
      </c>
      <c r="H156" s="2874">
        <f>SUM(H159,H164,H177,H184,H188,H192,H200,H206,H211,H221,H225,H232,H237,H254,H268)</f>
        <v>1008.722</v>
      </c>
      <c r="I156" s="2875">
        <f t="shared" si="56"/>
        <v>1.0405364411602007</v>
      </c>
      <c r="J156" s="2876"/>
      <c r="K156" s="2874">
        <f>SUM(K159,K164,K177,K184,K188,K192,K200,K206,K211,K221,K225,K232,K237,K254,K268)</f>
        <v>2058.3339999999998</v>
      </c>
      <c r="L156" s="2874">
        <f>SUM(L159,L164,L177,L184,L188,L192,L200,L206,L211,L221,L225,L232,L237,L254,L268)</f>
        <v>3121.7909999999997</v>
      </c>
      <c r="M156" s="2874">
        <f>SUM(M159,M164,M177,M184,M188,M192,M200,M206,M211,M221,M225,M232,M237,M254,M268)</f>
        <v>1494.2670000000001</v>
      </c>
      <c r="N156" s="2877" t="s">
        <v>2404</v>
      </c>
      <c r="O156" s="2878"/>
      <c r="P156" s="2879" t="s">
        <v>1811</v>
      </c>
      <c r="Q156" s="970" t="s">
        <v>2776</v>
      </c>
      <c r="R156" s="970">
        <v>2200</v>
      </c>
      <c r="S156" s="970">
        <v>2300</v>
      </c>
      <c r="T156" s="970">
        <v>2400</v>
      </c>
      <c r="U156" s="970" t="s">
        <v>4016</v>
      </c>
      <c r="V156" s="2345"/>
      <c r="Y156" s="84"/>
      <c r="Z156" s="84"/>
    </row>
    <row r="157" spans="1:26" ht="172.9" customHeight="1">
      <c r="A157" s="2872"/>
      <c r="B157" s="2872"/>
      <c r="C157" s="2873"/>
      <c r="D157" s="2873"/>
      <c r="E157" s="1507"/>
      <c r="F157" s="1508"/>
      <c r="G157" s="1507"/>
      <c r="H157" s="2874"/>
      <c r="I157" s="2875"/>
      <c r="J157" s="2876"/>
      <c r="K157" s="2874"/>
      <c r="L157" s="2874"/>
      <c r="M157" s="2874"/>
      <c r="N157" s="2877"/>
      <c r="O157" s="2878"/>
      <c r="P157" s="2879"/>
      <c r="Q157" s="970" t="s">
        <v>4050</v>
      </c>
      <c r="R157" s="970"/>
      <c r="S157" s="970" t="s">
        <v>1409</v>
      </c>
      <c r="T157" s="970" t="s">
        <v>1409</v>
      </c>
      <c r="U157" s="970" t="s">
        <v>1409</v>
      </c>
      <c r="V157" s="2345"/>
      <c r="Y157" s="84"/>
      <c r="Z157" s="84"/>
    </row>
    <row r="158" spans="1:26" ht="50.45" customHeight="1">
      <c r="A158" s="2746" t="s">
        <v>2140</v>
      </c>
      <c r="B158" s="2574" t="s">
        <v>1248</v>
      </c>
      <c r="C158" s="2897">
        <v>188711925</v>
      </c>
      <c r="D158" s="1098" t="s">
        <v>471</v>
      </c>
      <c r="E158" s="1510">
        <v>27</v>
      </c>
      <c r="F158" s="1526">
        <f t="shared" si="71"/>
        <v>0</v>
      </c>
      <c r="G158" s="1510">
        <v>27</v>
      </c>
      <c r="H158" s="1117">
        <v>27</v>
      </c>
      <c r="I158" s="1149">
        <f t="shared" si="56"/>
        <v>-0.12962962962962965</v>
      </c>
      <c r="J158" s="1510">
        <v>23.5</v>
      </c>
      <c r="K158" s="1100">
        <v>23.5</v>
      </c>
      <c r="L158" s="1100">
        <v>24</v>
      </c>
      <c r="M158" s="1100">
        <v>24</v>
      </c>
      <c r="N158" s="2907" t="s">
        <v>2346</v>
      </c>
      <c r="O158" s="2363" t="s">
        <v>2974</v>
      </c>
      <c r="P158" s="2345" t="s">
        <v>1518</v>
      </c>
      <c r="Q158" s="2345" t="s">
        <v>1480</v>
      </c>
      <c r="R158" s="2345" t="s">
        <v>433</v>
      </c>
      <c r="S158" s="2344" t="s">
        <v>433</v>
      </c>
      <c r="T158" s="2344" t="s">
        <v>433</v>
      </c>
      <c r="U158" s="2345" t="s">
        <v>433</v>
      </c>
      <c r="V158" s="2345"/>
      <c r="Y158" s="84"/>
      <c r="Z158" s="84"/>
    </row>
    <row r="159" spans="1:26" ht="36.75" customHeight="1">
      <c r="A159" s="2727"/>
      <c r="B159" s="2575">
        <f>SUM(B158:B158)</f>
        <v>0</v>
      </c>
      <c r="C159" s="2881">
        <f>SUM(C158:C158)</f>
        <v>188711925</v>
      </c>
      <c r="D159" s="1083" t="s">
        <v>1076</v>
      </c>
      <c r="E159" s="1513">
        <f>E158</f>
        <v>27</v>
      </c>
      <c r="F159" s="1513">
        <f t="shared" ref="F159:M159" si="72">F158</f>
        <v>0</v>
      </c>
      <c r="G159" s="1513">
        <f t="shared" si="72"/>
        <v>27</v>
      </c>
      <c r="H159" s="1091">
        <f t="shared" si="72"/>
        <v>27</v>
      </c>
      <c r="I159" s="1530">
        <f t="shared" si="56"/>
        <v>-0.12962962962962965</v>
      </c>
      <c r="J159" s="1531">
        <f t="shared" si="72"/>
        <v>23.5</v>
      </c>
      <c r="K159" s="1091">
        <f t="shared" si="72"/>
        <v>23.5</v>
      </c>
      <c r="L159" s="1091">
        <f t="shared" si="72"/>
        <v>24</v>
      </c>
      <c r="M159" s="1091">
        <f t="shared" si="72"/>
        <v>24</v>
      </c>
      <c r="N159" s="2895"/>
      <c r="O159" s="2401"/>
      <c r="P159" s="2345"/>
      <c r="Q159" s="2345"/>
      <c r="R159" s="2345"/>
      <c r="S159" s="2342"/>
      <c r="T159" s="2342"/>
      <c r="U159" s="2344"/>
      <c r="V159" s="2345"/>
      <c r="Y159" s="84"/>
      <c r="Z159" s="84"/>
    </row>
    <row r="160" spans="1:26" ht="27.6" customHeight="1">
      <c r="A160" s="2727" t="s">
        <v>3734</v>
      </c>
      <c r="B160" s="2575" t="s">
        <v>3735</v>
      </c>
      <c r="C160" s="2881">
        <v>188711925</v>
      </c>
      <c r="D160" s="1082" t="s">
        <v>48</v>
      </c>
      <c r="E160" s="1527"/>
      <c r="F160" s="1527"/>
      <c r="G160" s="1527"/>
      <c r="H160" s="1090"/>
      <c r="I160" s="1054"/>
      <c r="J160" s="1527">
        <f>SUM(J165,J169)</f>
        <v>16.882000000000001</v>
      </c>
      <c r="K160" s="1535">
        <f t="shared" ref="K160" si="73">SUM(K165,K169)</f>
        <v>0</v>
      </c>
      <c r="L160" s="1535"/>
      <c r="M160" s="1535">
        <v>0</v>
      </c>
      <c r="N160" s="2894" t="s">
        <v>2367</v>
      </c>
      <c r="O160" s="2349" t="s">
        <v>3736</v>
      </c>
      <c r="P160" s="2343" t="s">
        <v>1519</v>
      </c>
      <c r="Q160" s="2343" t="s">
        <v>2964</v>
      </c>
      <c r="R160" s="2342" t="s">
        <v>434</v>
      </c>
      <c r="S160" s="2342" t="s">
        <v>434</v>
      </c>
      <c r="T160" s="2342" t="s">
        <v>434</v>
      </c>
      <c r="U160" s="2343" t="s">
        <v>324</v>
      </c>
      <c r="V160" s="2342" t="s">
        <v>2368</v>
      </c>
      <c r="Y160" s="84"/>
      <c r="Z160" s="84"/>
    </row>
    <row r="161" spans="1:26" ht="27.6" customHeight="1">
      <c r="A161" s="2807"/>
      <c r="B161" s="2580"/>
      <c r="C161" s="2887"/>
      <c r="D161" s="1082" t="s">
        <v>2928</v>
      </c>
      <c r="E161" s="1527"/>
      <c r="F161" s="1527"/>
      <c r="G161" s="1527"/>
      <c r="H161" s="1090"/>
      <c r="I161" s="1054"/>
      <c r="J161" s="1527">
        <f>SUM(J166,J170)</f>
        <v>0</v>
      </c>
      <c r="K161" s="1535">
        <f>SUM(K166,K170)</f>
        <v>16.882999999999999</v>
      </c>
      <c r="L161" s="1535">
        <f t="shared" ref="L161:M161" si="74">SUM(L166,L170)</f>
        <v>0</v>
      </c>
      <c r="M161" s="1535">
        <f t="shared" si="74"/>
        <v>0</v>
      </c>
      <c r="N161" s="2907"/>
      <c r="O161" s="2363"/>
      <c r="P161" s="2345"/>
      <c r="Q161" s="2345"/>
      <c r="R161" s="2342"/>
      <c r="S161" s="2342"/>
      <c r="T161" s="2342"/>
      <c r="U161" s="2345"/>
      <c r="V161" s="2342"/>
      <c r="Y161" s="84"/>
      <c r="Z161" s="84"/>
    </row>
    <row r="162" spans="1:26" ht="27" customHeight="1">
      <c r="A162" s="2807"/>
      <c r="B162" s="2580"/>
      <c r="C162" s="2887"/>
      <c r="D162" s="1082" t="s">
        <v>246</v>
      </c>
      <c r="E162" s="1527"/>
      <c r="F162" s="1527"/>
      <c r="G162" s="1527"/>
      <c r="H162" s="1090"/>
      <c r="I162" s="1054"/>
      <c r="J162" s="1527">
        <f>SUM(J167,J171)</f>
        <v>95.668999999999997</v>
      </c>
      <c r="K162" s="1535">
        <f t="shared" ref="K162:M162" si="75">SUM(K167,K171)</f>
        <v>95.668999999999997</v>
      </c>
      <c r="L162" s="1535">
        <f t="shared" si="75"/>
        <v>529.04899999999998</v>
      </c>
      <c r="M162" s="1535">
        <f t="shared" si="75"/>
        <v>90.95</v>
      </c>
      <c r="N162" s="2907"/>
      <c r="O162" s="2363"/>
      <c r="P162" s="2345"/>
      <c r="Q162" s="2345"/>
      <c r="R162" s="2342"/>
      <c r="S162" s="2342"/>
      <c r="T162" s="2342"/>
      <c r="U162" s="2345"/>
      <c r="V162" s="2342"/>
      <c r="Y162" s="84"/>
      <c r="Z162" s="84"/>
    </row>
    <row r="163" spans="1:26" ht="27" customHeight="1">
      <c r="A163" s="2807"/>
      <c r="B163" s="2580"/>
      <c r="C163" s="2887"/>
      <c r="D163" s="1387" t="s">
        <v>1394</v>
      </c>
      <c r="E163" s="1579"/>
      <c r="F163" s="1579"/>
      <c r="G163" s="1579"/>
      <c r="H163" s="1118"/>
      <c r="I163" s="1410"/>
      <c r="J163" s="1579"/>
      <c r="K163" s="1607"/>
      <c r="L163" s="1607">
        <v>93.361999999999995</v>
      </c>
      <c r="M163" s="1607">
        <v>16.05</v>
      </c>
      <c r="N163" s="2907"/>
      <c r="O163" s="2363"/>
      <c r="P163" s="2345"/>
      <c r="Q163" s="2345"/>
      <c r="R163" s="2343"/>
      <c r="S163" s="2343"/>
      <c r="T163" s="2343"/>
      <c r="U163" s="2345"/>
      <c r="V163" s="2343"/>
      <c r="Y163" s="84"/>
      <c r="Z163" s="84"/>
    </row>
    <row r="164" spans="1:26" ht="43.5" customHeight="1">
      <c r="A164" s="2807"/>
      <c r="B164" s="2580">
        <f>SUM(B160:B160)</f>
        <v>0</v>
      </c>
      <c r="C164" s="2887">
        <f>SUM(C160:C160)</f>
        <v>188711925</v>
      </c>
      <c r="D164" s="1087" t="s">
        <v>1076</v>
      </c>
      <c r="E164" s="1573">
        <f>E160</f>
        <v>0</v>
      </c>
      <c r="F164" s="1573">
        <f t="shared" ref="F164:G164" si="76">F160</f>
        <v>0</v>
      </c>
      <c r="G164" s="1573">
        <f t="shared" si="76"/>
        <v>0</v>
      </c>
      <c r="H164" s="1575">
        <f>H160</f>
        <v>0</v>
      </c>
      <c r="I164" s="1358"/>
      <c r="J164" s="1573">
        <f>SUM(J160,J161,J162,)</f>
        <v>112.551</v>
      </c>
      <c r="K164" s="1608">
        <f t="shared" ref="K164:M164" si="77">SUM(K160,K161,K162,)</f>
        <v>112.55199999999999</v>
      </c>
      <c r="L164" s="1608">
        <f t="shared" si="77"/>
        <v>529.04899999999998</v>
      </c>
      <c r="M164" s="1608">
        <f t="shared" si="77"/>
        <v>90.95</v>
      </c>
      <c r="N164" s="2907"/>
      <c r="O164" s="2880"/>
      <c r="P164" s="2345"/>
      <c r="Q164" s="2345"/>
      <c r="R164" s="2343"/>
      <c r="S164" s="2343"/>
      <c r="T164" s="2343"/>
      <c r="U164" s="2345"/>
      <c r="V164" s="2343"/>
      <c r="Y164" s="84"/>
      <c r="Z164" s="84"/>
    </row>
    <row r="165" spans="1:26" ht="29.25" hidden="1" customHeight="1">
      <c r="A165" s="2743" t="s">
        <v>3400</v>
      </c>
      <c r="B165" s="2601" t="s">
        <v>2703</v>
      </c>
      <c r="C165" s="1547"/>
      <c r="D165" s="990" t="s">
        <v>471</v>
      </c>
      <c r="E165" s="1120"/>
      <c r="F165" s="1120"/>
      <c r="G165" s="1120"/>
      <c r="H165" s="989"/>
      <c r="I165" s="989"/>
      <c r="J165" s="1518">
        <v>0.3</v>
      </c>
      <c r="K165" s="989"/>
      <c r="L165" s="989">
        <v>0.90100000000000002</v>
      </c>
      <c r="M165" s="989">
        <v>0.45100000000000001</v>
      </c>
      <c r="N165" s="591"/>
      <c r="O165" s="989"/>
      <c r="P165" s="1004"/>
      <c r="Q165" s="1004"/>
      <c r="R165" s="1004"/>
      <c r="S165" s="1004"/>
      <c r="T165" s="1004"/>
      <c r="U165" s="1004"/>
      <c r="V165" s="1004"/>
      <c r="Y165" s="84"/>
      <c r="Z165" s="84"/>
    </row>
    <row r="166" spans="1:26" ht="27.75" hidden="1" customHeight="1">
      <c r="A166" s="2734"/>
      <c r="B166" s="2602"/>
      <c r="C166" s="1547"/>
      <c r="D166" s="990" t="s">
        <v>2928</v>
      </c>
      <c r="E166" s="1120"/>
      <c r="F166" s="1120"/>
      <c r="G166" s="1120"/>
      <c r="H166" s="989"/>
      <c r="I166" s="989"/>
      <c r="J166" s="1518"/>
      <c r="K166" s="989">
        <v>0.30099999999999999</v>
      </c>
      <c r="L166" s="989"/>
      <c r="M166" s="989"/>
      <c r="N166" s="591"/>
      <c r="O166" s="989"/>
      <c r="P166" s="1004"/>
      <c r="Q166" s="1004"/>
      <c r="R166" s="1004"/>
      <c r="S166" s="1004"/>
      <c r="T166" s="1004"/>
      <c r="U166" s="1004"/>
      <c r="V166" s="1004"/>
      <c r="Y166" s="84"/>
      <c r="Z166" s="84"/>
    </row>
    <row r="167" spans="1:26" ht="26.25" hidden="1" customHeight="1">
      <c r="A167" s="2734"/>
      <c r="B167" s="2602"/>
      <c r="C167" s="1547"/>
      <c r="D167" s="990" t="s">
        <v>246</v>
      </c>
      <c r="E167" s="1120"/>
      <c r="F167" s="1120"/>
      <c r="G167" s="1120"/>
      <c r="H167" s="989"/>
      <c r="I167" s="989"/>
      <c r="J167" s="1518">
        <v>1.7030000000000001</v>
      </c>
      <c r="K167" s="989">
        <v>1.7030000000000001</v>
      </c>
      <c r="L167" s="989">
        <v>5.1079999999999997</v>
      </c>
      <c r="M167" s="989">
        <v>2.5539999999999998</v>
      </c>
      <c r="N167" s="591"/>
      <c r="O167" s="989"/>
      <c r="P167" s="1004"/>
      <c r="Q167" s="1004"/>
      <c r="R167" s="1004"/>
      <c r="S167" s="1004"/>
      <c r="T167" s="1004"/>
      <c r="U167" s="1004"/>
      <c r="V167" s="1004"/>
      <c r="Y167" s="84"/>
      <c r="Z167" s="84"/>
    </row>
    <row r="168" spans="1:26" ht="31.5" hidden="1" customHeight="1">
      <c r="A168" s="2735"/>
      <c r="B168" s="2603"/>
      <c r="C168" s="1547"/>
      <c r="D168" s="1022" t="s">
        <v>1076</v>
      </c>
      <c r="E168" s="1120"/>
      <c r="F168" s="1120"/>
      <c r="G168" s="1120"/>
      <c r="H168" s="989"/>
      <c r="I168" s="989"/>
      <c r="J168" s="1518">
        <f>SUM(J165,J166,J167,)</f>
        <v>2.0030000000000001</v>
      </c>
      <c r="K168" s="989">
        <f>SUM(K165,K166,K167,)</f>
        <v>2.004</v>
      </c>
      <c r="L168" s="989">
        <f t="shared" ref="L168:M168" si="78">SUM(L165,L166,L167,)</f>
        <v>6.0089999999999995</v>
      </c>
      <c r="M168" s="989">
        <f t="shared" si="78"/>
        <v>3.0049999999999999</v>
      </c>
      <c r="N168" s="591"/>
      <c r="O168" s="989"/>
      <c r="P168" s="1004"/>
      <c r="Q168" s="1004"/>
      <c r="R168" s="1004"/>
      <c r="S168" s="1004"/>
      <c r="T168" s="1004"/>
      <c r="U168" s="1004"/>
      <c r="V168" s="1004"/>
      <c r="Y168" s="84"/>
      <c r="Z168" s="84"/>
    </row>
    <row r="169" spans="1:26" ht="30" hidden="1" customHeight="1">
      <c r="A169" s="2983" t="s">
        <v>3401</v>
      </c>
      <c r="B169" s="2987" t="s">
        <v>1447</v>
      </c>
      <c r="C169" s="1609"/>
      <c r="D169" s="1610" t="s">
        <v>471</v>
      </c>
      <c r="E169" s="1611"/>
      <c r="F169" s="1611"/>
      <c r="G169" s="1611"/>
      <c r="H169" s="1612"/>
      <c r="I169" s="1612"/>
      <c r="J169" s="1613">
        <v>16.582000000000001</v>
      </c>
      <c r="K169" s="1612"/>
      <c r="L169" s="1612">
        <v>92.46</v>
      </c>
      <c r="M169" s="1612">
        <v>15.599</v>
      </c>
      <c r="N169" s="593"/>
      <c r="O169" s="1612"/>
      <c r="P169" s="1615"/>
      <c r="Q169" s="1615"/>
      <c r="R169" s="1615"/>
      <c r="S169" s="1615"/>
      <c r="T169" s="1615"/>
      <c r="U169" s="1615"/>
      <c r="V169" s="1615"/>
      <c r="Y169" s="84"/>
      <c r="Z169" s="84"/>
    </row>
    <row r="170" spans="1:26" ht="29.25" hidden="1" customHeight="1">
      <c r="A170" s="2984"/>
      <c r="B170" s="2988"/>
      <c r="C170" s="1609"/>
      <c r="D170" s="1610" t="s">
        <v>2928</v>
      </c>
      <c r="E170" s="1611"/>
      <c r="F170" s="1611"/>
      <c r="G170" s="1611"/>
      <c r="H170" s="1612"/>
      <c r="I170" s="1612"/>
      <c r="J170" s="1613"/>
      <c r="K170" s="1612">
        <v>16.582000000000001</v>
      </c>
      <c r="L170" s="1612"/>
      <c r="M170" s="1612"/>
      <c r="N170" s="594"/>
      <c r="O170" s="1616"/>
      <c r="P170" s="1617"/>
      <c r="Q170" s="1617"/>
      <c r="R170" s="1617"/>
      <c r="S170" s="1615"/>
      <c r="T170" s="1615"/>
      <c r="U170" s="1617"/>
      <c r="V170" s="1617"/>
      <c r="Y170" s="84"/>
      <c r="Z170" s="84"/>
    </row>
    <row r="171" spans="1:26" ht="27" hidden="1" customHeight="1">
      <c r="A171" s="2984"/>
      <c r="B171" s="2988"/>
      <c r="C171" s="1609"/>
      <c r="D171" s="1610" t="s">
        <v>246</v>
      </c>
      <c r="E171" s="1611"/>
      <c r="F171" s="1611"/>
      <c r="G171" s="1611"/>
      <c r="H171" s="1612"/>
      <c r="I171" s="1612"/>
      <c r="J171" s="1613">
        <v>93.965999999999994</v>
      </c>
      <c r="K171" s="1612">
        <v>93.965999999999994</v>
      </c>
      <c r="L171" s="1612">
        <v>523.94100000000003</v>
      </c>
      <c r="M171" s="1612">
        <v>88.396000000000001</v>
      </c>
      <c r="N171" s="594"/>
      <c r="O171" s="1616"/>
      <c r="P171" s="1617"/>
      <c r="Q171" s="1617"/>
      <c r="R171" s="1617"/>
      <c r="S171" s="1615"/>
      <c r="T171" s="1615"/>
      <c r="U171" s="1617"/>
      <c r="V171" s="1617"/>
      <c r="Y171" s="84"/>
      <c r="Z171" s="84"/>
    </row>
    <row r="172" spans="1:26" ht="30" hidden="1" customHeight="1">
      <c r="A172" s="2985"/>
      <c r="B172" s="2989"/>
      <c r="C172" s="1618"/>
      <c r="D172" s="1619" t="s">
        <v>1076</v>
      </c>
      <c r="E172" s="1620"/>
      <c r="F172" s="1620"/>
      <c r="G172" s="1620"/>
      <c r="H172" s="1621"/>
      <c r="I172" s="1612"/>
      <c r="J172" s="1613">
        <f>SUM(J169,J170,J171)</f>
        <v>110.548</v>
      </c>
      <c r="K172" s="1612">
        <f>SUM(K169,K170,K171)</f>
        <v>110.548</v>
      </c>
      <c r="L172" s="1612">
        <f t="shared" ref="L172:M172" si="79">SUM(L169,L170,L171)</f>
        <v>616.40100000000007</v>
      </c>
      <c r="M172" s="1612">
        <f t="shared" si="79"/>
        <v>103.995</v>
      </c>
      <c r="N172" s="594"/>
      <c r="O172" s="1616"/>
      <c r="P172" s="1617"/>
      <c r="Q172" s="1617"/>
      <c r="R172" s="1617"/>
      <c r="S172" s="1615"/>
      <c r="T172" s="1615"/>
      <c r="U172" s="1617"/>
      <c r="V172" s="1617"/>
      <c r="Y172" s="84"/>
      <c r="Z172" s="84"/>
    </row>
    <row r="173" spans="1:26" ht="34.15" customHeight="1">
      <c r="A173" s="2732" t="s">
        <v>2141</v>
      </c>
      <c r="B173" s="2388" t="s">
        <v>1250</v>
      </c>
      <c r="C173" s="2442" t="s">
        <v>1080</v>
      </c>
      <c r="D173" s="1153" t="s">
        <v>471</v>
      </c>
      <c r="E173" s="1510"/>
      <c r="F173" s="1526"/>
      <c r="G173" s="1510"/>
      <c r="H173" s="1117"/>
      <c r="I173" s="1053"/>
      <c r="J173" s="1527"/>
      <c r="K173" s="1053"/>
      <c r="L173" s="1053"/>
      <c r="M173" s="1053"/>
      <c r="N173" s="2883" t="s">
        <v>2405</v>
      </c>
      <c r="O173" s="2349" t="s">
        <v>1797</v>
      </c>
      <c r="P173" s="2343" t="s">
        <v>1520</v>
      </c>
      <c r="Q173" s="2343" t="s">
        <v>1482</v>
      </c>
      <c r="R173" s="2343" t="s">
        <v>4</v>
      </c>
      <c r="S173" s="2342" t="s">
        <v>4</v>
      </c>
      <c r="T173" s="2342" t="s">
        <v>4</v>
      </c>
      <c r="U173" s="2343" t="s">
        <v>4</v>
      </c>
      <c r="V173" s="2343" t="s">
        <v>943</v>
      </c>
      <c r="Y173" s="84"/>
      <c r="Z173" s="84"/>
    </row>
    <row r="174" spans="1:26" ht="39.6" customHeight="1">
      <c r="A174" s="2739"/>
      <c r="B174" s="2366"/>
      <c r="C174" s="2392"/>
      <c r="D174" s="1156" t="s">
        <v>1389</v>
      </c>
      <c r="E174" s="1596">
        <f>E180</f>
        <v>8</v>
      </c>
      <c r="F174" s="1534">
        <f t="shared" ref="F174:F177" si="80">H174/E174-1</f>
        <v>1.0687500000000001</v>
      </c>
      <c r="G174" s="1527">
        <f>G180</f>
        <v>16.545000000000002</v>
      </c>
      <c r="H174" s="1090">
        <f t="shared" ref="H174:M174" si="81">H180</f>
        <v>16.55</v>
      </c>
      <c r="I174" s="1054">
        <f t="shared" ref="I174:I177" si="82">K174/H174-1</f>
        <v>-0.21450151057401812</v>
      </c>
      <c r="J174" s="1527"/>
      <c r="K174" s="1053">
        <f>K180</f>
        <v>13</v>
      </c>
      <c r="L174" s="1053">
        <f>L180</f>
        <v>13</v>
      </c>
      <c r="M174" s="1053">
        <f t="shared" si="81"/>
        <v>13</v>
      </c>
      <c r="N174" s="2883"/>
      <c r="O174" s="2363"/>
      <c r="P174" s="2345"/>
      <c r="Q174" s="2345"/>
      <c r="R174" s="2345"/>
      <c r="S174" s="2342"/>
      <c r="T174" s="2342"/>
      <c r="U174" s="2345"/>
      <c r="V174" s="2345"/>
      <c r="Y174" s="84"/>
      <c r="Z174" s="84"/>
    </row>
    <row r="175" spans="1:26" ht="27.6" customHeight="1">
      <c r="A175" s="2739"/>
      <c r="B175" s="2366"/>
      <c r="C175" s="2392"/>
      <c r="D175" s="1157" t="s">
        <v>1122</v>
      </c>
      <c r="E175" s="1596">
        <f>SUM(E178,E181)</f>
        <v>62.895999999999994</v>
      </c>
      <c r="F175" s="1534">
        <f t="shared" si="80"/>
        <v>0.13566840498600885</v>
      </c>
      <c r="G175" s="1527">
        <f>SUM(G178,G181)</f>
        <v>181.00399999999999</v>
      </c>
      <c r="H175" s="1090">
        <f>SUM(H178,H181)</f>
        <v>71.429000000000002</v>
      </c>
      <c r="I175" s="1054">
        <f t="shared" si="82"/>
        <v>1.5581206512760923</v>
      </c>
      <c r="J175" s="1527"/>
      <c r="K175" s="1053">
        <f>SUM(,K179,K181)</f>
        <v>182.72399999999999</v>
      </c>
      <c r="L175" s="1053">
        <f>SUM(L178,L179,L181)</f>
        <v>182.72399999999999</v>
      </c>
      <c r="M175" s="1053">
        <f>SUM(M178,M179,M181)</f>
        <v>182.72399999999999</v>
      </c>
      <c r="N175" s="2883"/>
      <c r="O175" s="2363"/>
      <c r="P175" s="2345"/>
      <c r="Q175" s="2345"/>
      <c r="R175" s="2345"/>
      <c r="S175" s="2342"/>
      <c r="T175" s="2342"/>
      <c r="U175" s="2345"/>
      <c r="V175" s="2345"/>
      <c r="Y175" s="84"/>
      <c r="Z175" s="84"/>
    </row>
    <row r="176" spans="1:26" ht="27.6" customHeight="1">
      <c r="A176" s="2739"/>
      <c r="B176" s="2366"/>
      <c r="C176" s="2392"/>
      <c r="D176" s="952" t="s">
        <v>1448</v>
      </c>
      <c r="E176" s="1622"/>
      <c r="F176" s="1580"/>
      <c r="G176" s="1579"/>
      <c r="H176" s="1118"/>
      <c r="I176" s="1054"/>
      <c r="J176" s="1527"/>
      <c r="K176" s="1053"/>
      <c r="L176" s="1053"/>
      <c r="M176" s="1053"/>
      <c r="N176" s="2883"/>
      <c r="O176" s="2363"/>
      <c r="P176" s="2345"/>
      <c r="Q176" s="2345"/>
      <c r="R176" s="2345"/>
      <c r="S176" s="2342"/>
      <c r="T176" s="2342"/>
      <c r="U176" s="2345"/>
      <c r="V176" s="2345"/>
      <c r="Y176" s="84"/>
      <c r="Z176" s="84"/>
    </row>
    <row r="177" spans="1:26" ht="27" customHeight="1">
      <c r="A177" s="2739"/>
      <c r="B177" s="2366">
        <f>SUM(B173:B173)</f>
        <v>0</v>
      </c>
      <c r="C177" s="2392">
        <f>SUM(C173:C173)</f>
        <v>0</v>
      </c>
      <c r="D177" s="1056" t="s">
        <v>1076</v>
      </c>
      <c r="E177" s="1573">
        <f>SUM(E173:E175)</f>
        <v>70.895999999999987</v>
      </c>
      <c r="F177" s="1574">
        <f t="shared" si="80"/>
        <v>0.24095858722635999</v>
      </c>
      <c r="G177" s="1573">
        <f t="shared" ref="G177:H177" si="83">SUM(G173:G175)</f>
        <v>197.54899999999998</v>
      </c>
      <c r="H177" s="1575">
        <f t="shared" si="83"/>
        <v>87.978999999999999</v>
      </c>
      <c r="I177" s="1060">
        <f t="shared" si="82"/>
        <v>1.2246672501392375</v>
      </c>
      <c r="J177" s="1513"/>
      <c r="K177" s="1059">
        <f>SUM(K174,K175,K176)</f>
        <v>195.72399999999999</v>
      </c>
      <c r="L177" s="1059">
        <f>SUM(L174,L175,L176)</f>
        <v>195.72399999999999</v>
      </c>
      <c r="M177" s="1059">
        <f t="shared" ref="M177" si="84">SUM(M174,M175,M176)</f>
        <v>195.72399999999999</v>
      </c>
      <c r="N177" s="2883"/>
      <c r="O177" s="2363"/>
      <c r="P177" s="2345"/>
      <c r="Q177" s="2345"/>
      <c r="R177" s="2345"/>
      <c r="S177" s="2342"/>
      <c r="T177" s="2342"/>
      <c r="U177" s="2344"/>
      <c r="V177" s="2345"/>
      <c r="Y177" s="84"/>
      <c r="Z177" s="84"/>
    </row>
    <row r="178" spans="1:26" ht="20.100000000000001" hidden="1" customHeight="1">
      <c r="A178" s="2986"/>
      <c r="B178" s="2944" t="s">
        <v>1450</v>
      </c>
      <c r="C178" s="1623"/>
      <c r="D178" s="1455" t="s">
        <v>1448</v>
      </c>
      <c r="E178" s="1624">
        <v>61.662999999999997</v>
      </c>
      <c r="F178" s="1624"/>
      <c r="G178" s="1624">
        <v>181.00399999999999</v>
      </c>
      <c r="H178" s="1625">
        <v>70.238</v>
      </c>
      <c r="I178" s="1001"/>
      <c r="J178" s="1624"/>
      <c r="K178" s="1001"/>
      <c r="L178" s="1001"/>
      <c r="M178" s="1001"/>
      <c r="N178" s="1692"/>
      <c r="O178" s="2363"/>
      <c r="P178" s="1452"/>
      <c r="Q178" s="1004" t="s">
        <v>1807</v>
      </c>
      <c r="R178" s="1004" t="s">
        <v>1808</v>
      </c>
      <c r="S178" s="1004" t="s">
        <v>1808</v>
      </c>
      <c r="T178" s="1004" t="s">
        <v>1808</v>
      </c>
      <c r="U178" s="1004"/>
      <c r="V178" s="2345"/>
      <c r="Y178" s="84"/>
      <c r="Z178" s="84"/>
    </row>
    <row r="179" spans="1:26" ht="20.100000000000001" hidden="1" customHeight="1">
      <c r="A179" s="2986"/>
      <c r="B179" s="2944"/>
      <c r="C179" s="1623"/>
      <c r="D179" s="1626" t="s">
        <v>1122</v>
      </c>
      <c r="E179" s="1624"/>
      <c r="F179" s="1624"/>
      <c r="G179" s="1624"/>
      <c r="H179" s="1625"/>
      <c r="I179" s="1001"/>
      <c r="J179" s="1624"/>
      <c r="K179" s="1001">
        <v>179.678</v>
      </c>
      <c r="L179" s="1001">
        <v>179.678</v>
      </c>
      <c r="M179" s="1001">
        <v>179.678</v>
      </c>
      <c r="N179" s="1692"/>
      <c r="O179" s="2363"/>
      <c r="P179" s="1452"/>
      <c r="Q179" s="1004"/>
      <c r="R179" s="1004"/>
      <c r="S179" s="1004"/>
      <c r="T179" s="1004"/>
      <c r="U179" s="1004"/>
      <c r="V179" s="2345"/>
      <c r="Y179" s="84"/>
      <c r="Z179" s="84"/>
    </row>
    <row r="180" spans="1:26" ht="20.100000000000001" hidden="1" customHeight="1">
      <c r="A180" s="2986"/>
      <c r="B180" s="2944"/>
      <c r="C180" s="1623"/>
      <c r="D180" s="1455" t="s">
        <v>1389</v>
      </c>
      <c r="E180" s="1624">
        <v>8</v>
      </c>
      <c r="F180" s="1624"/>
      <c r="G180" s="1624">
        <v>16.545000000000002</v>
      </c>
      <c r="H180" s="1625">
        <v>16.55</v>
      </c>
      <c r="I180" s="1001"/>
      <c r="J180" s="1624">
        <v>17.2</v>
      </c>
      <c r="K180" s="1001">
        <v>13</v>
      </c>
      <c r="L180" s="1001">
        <v>13</v>
      </c>
      <c r="M180" s="1001">
        <v>13</v>
      </c>
      <c r="N180" s="1692"/>
      <c r="O180" s="2363"/>
      <c r="P180" s="1452"/>
      <c r="Q180" s="1004"/>
      <c r="R180" s="1004"/>
      <c r="S180" s="1004"/>
      <c r="T180" s="1004"/>
      <c r="U180" s="1004"/>
      <c r="V180" s="2345"/>
      <c r="Y180" s="84"/>
      <c r="Z180" s="84"/>
    </row>
    <row r="181" spans="1:26" ht="24" hidden="1" customHeight="1">
      <c r="A181" s="1453"/>
      <c r="B181" s="1378" t="s">
        <v>1390</v>
      </c>
      <c r="C181" s="1623"/>
      <c r="D181" s="1455" t="s">
        <v>1122</v>
      </c>
      <c r="E181" s="1624">
        <v>1.2330000000000001</v>
      </c>
      <c r="F181" s="1624"/>
      <c r="G181" s="1624"/>
      <c r="H181" s="1625">
        <v>1.1910000000000001</v>
      </c>
      <c r="I181" s="1001"/>
      <c r="J181" s="1624">
        <v>3.0459999999999998</v>
      </c>
      <c r="K181" s="1001">
        <v>3.0459999999999998</v>
      </c>
      <c r="L181" s="1001">
        <v>3.0459999999999998</v>
      </c>
      <c r="M181" s="1001">
        <v>3.0459999999999998</v>
      </c>
      <c r="N181" s="1693"/>
      <c r="O181" s="2350"/>
      <c r="P181" s="1452"/>
      <c r="Q181" s="1004"/>
      <c r="R181" s="1004"/>
      <c r="S181" s="1004"/>
      <c r="T181" s="1004"/>
      <c r="U181" s="1004"/>
      <c r="V181" s="2345"/>
      <c r="Y181" s="84"/>
      <c r="Z181" s="84"/>
    </row>
    <row r="182" spans="1:26" ht="36.6" customHeight="1">
      <c r="A182" s="2739" t="s">
        <v>2142</v>
      </c>
      <c r="B182" s="2366" t="s">
        <v>1251</v>
      </c>
      <c r="C182" s="2392">
        <v>188711925</v>
      </c>
      <c r="D182" s="1153" t="s">
        <v>471</v>
      </c>
      <c r="E182" s="1510">
        <v>16.47</v>
      </c>
      <c r="F182" s="1534">
        <f t="shared" ref="F182:F190" si="85">H182/E182-1</f>
        <v>-0.15846994535519121</v>
      </c>
      <c r="G182" s="1527">
        <v>18.48</v>
      </c>
      <c r="H182" s="1090">
        <v>13.86</v>
      </c>
      <c r="I182" s="1054">
        <f t="shared" ref="I182:I192" si="86">K182/H182-1</f>
        <v>0.27272727272727293</v>
      </c>
      <c r="J182" s="1527">
        <v>17.2</v>
      </c>
      <c r="K182" s="1053">
        <v>17.64</v>
      </c>
      <c r="L182" s="1053">
        <v>17.64</v>
      </c>
      <c r="M182" s="1053">
        <v>17.64</v>
      </c>
      <c r="N182" s="2894" t="s">
        <v>2401</v>
      </c>
      <c r="O182" s="2349" t="s">
        <v>1798</v>
      </c>
      <c r="P182" s="2343" t="s">
        <v>1521</v>
      </c>
      <c r="Q182" s="2343" t="s">
        <v>2975</v>
      </c>
      <c r="R182" s="2343" t="s">
        <v>1470</v>
      </c>
      <c r="S182" s="2342" t="s">
        <v>1555</v>
      </c>
      <c r="T182" s="2342" t="s">
        <v>2472</v>
      </c>
      <c r="U182" s="2343" t="s">
        <v>2472</v>
      </c>
      <c r="V182" s="2345"/>
      <c r="Y182" s="84"/>
      <c r="Z182" s="84"/>
    </row>
    <row r="183" spans="1:26" ht="34.9" customHeight="1">
      <c r="A183" s="2739"/>
      <c r="B183" s="2366"/>
      <c r="C183" s="2392"/>
      <c r="D183" s="1061" t="s">
        <v>1122</v>
      </c>
      <c r="E183" s="1628">
        <v>41.034999999999997</v>
      </c>
      <c r="F183" s="1580">
        <f t="shared" si="85"/>
        <v>-0.3420007310832216</v>
      </c>
      <c r="G183" s="1579"/>
      <c r="H183" s="1118">
        <v>27.001000000000001</v>
      </c>
      <c r="I183" s="1054">
        <f t="shared" si="86"/>
        <v>-1.0740342950260606E-3</v>
      </c>
      <c r="J183" s="1527">
        <v>26.972000000000001</v>
      </c>
      <c r="K183" s="1053">
        <v>26.972000000000001</v>
      </c>
      <c r="L183" s="1053">
        <v>26.972000000000001</v>
      </c>
      <c r="M183" s="1053">
        <v>26.972000000000001</v>
      </c>
      <c r="N183" s="2907"/>
      <c r="O183" s="2363"/>
      <c r="P183" s="2345"/>
      <c r="Q183" s="2345"/>
      <c r="R183" s="2345"/>
      <c r="S183" s="2342"/>
      <c r="T183" s="2342"/>
      <c r="U183" s="2345"/>
      <c r="V183" s="2345"/>
      <c r="Y183" s="84"/>
      <c r="Z183" s="84"/>
    </row>
    <row r="184" spans="1:26" ht="32.25" customHeight="1">
      <c r="A184" s="2739"/>
      <c r="B184" s="2366"/>
      <c r="C184" s="2392">
        <f>SUM(C182:C182)</f>
        <v>188711925</v>
      </c>
      <c r="D184" s="1629" t="s">
        <v>1076</v>
      </c>
      <c r="E184" s="1513">
        <f>SUM(E182:E183)</f>
        <v>57.504999999999995</v>
      </c>
      <c r="F184" s="1514">
        <f t="shared" si="85"/>
        <v>-0.28943570124337004</v>
      </c>
      <c r="G184" s="1513">
        <f t="shared" ref="G184:M184" si="87">SUM(G182:G183)</f>
        <v>18.48</v>
      </c>
      <c r="H184" s="1091">
        <f t="shared" si="87"/>
        <v>40.861000000000004</v>
      </c>
      <c r="I184" s="1060">
        <f t="shared" si="86"/>
        <v>9.1799025966080139E-2</v>
      </c>
      <c r="J184" s="1513"/>
      <c r="K184" s="1059">
        <f t="shared" si="87"/>
        <v>44.612000000000002</v>
      </c>
      <c r="L184" s="1059">
        <f>SUM(L182:L183)</f>
        <v>44.612000000000002</v>
      </c>
      <c r="M184" s="1059">
        <f t="shared" si="87"/>
        <v>44.612000000000002</v>
      </c>
      <c r="N184" s="2895"/>
      <c r="O184" s="2401"/>
      <c r="P184" s="2345"/>
      <c r="Q184" s="2345"/>
      <c r="R184" s="2345"/>
      <c r="S184" s="2342"/>
      <c r="T184" s="2342"/>
      <c r="U184" s="2344"/>
      <c r="V184" s="2345"/>
      <c r="Y184" s="84"/>
      <c r="Z184" s="84"/>
    </row>
    <row r="185" spans="1:26" ht="34.15" customHeight="1">
      <c r="A185" s="2739" t="s">
        <v>2745</v>
      </c>
      <c r="B185" s="2366" t="s">
        <v>3737</v>
      </c>
      <c r="C185" s="2392">
        <v>300079075</v>
      </c>
      <c r="D185" s="1035" t="s">
        <v>246</v>
      </c>
      <c r="E185" s="1527">
        <v>135</v>
      </c>
      <c r="F185" s="1533">
        <f t="shared" si="85"/>
        <v>0.10397037037037049</v>
      </c>
      <c r="G185" s="1527">
        <v>176.941</v>
      </c>
      <c r="H185" s="1090">
        <v>149.036</v>
      </c>
      <c r="I185" s="1054">
        <f t="shared" si="86"/>
        <v>0.19642234091092092</v>
      </c>
      <c r="J185" s="1527">
        <v>178.31</v>
      </c>
      <c r="K185" s="1053">
        <v>178.31</v>
      </c>
      <c r="L185" s="1053">
        <v>138.87</v>
      </c>
      <c r="M185" s="1053"/>
      <c r="N185" s="2894" t="s">
        <v>2372</v>
      </c>
      <c r="O185" s="2349" t="s">
        <v>3749</v>
      </c>
      <c r="P185" s="2343" t="s">
        <v>1522</v>
      </c>
      <c r="Q185" s="2343" t="s">
        <v>1483</v>
      </c>
      <c r="R185" s="2343" t="s">
        <v>1473</v>
      </c>
      <c r="S185" s="2342" t="s">
        <v>1473</v>
      </c>
      <c r="T185" s="2342" t="s">
        <v>1473</v>
      </c>
      <c r="U185" s="2343" t="s">
        <v>1473</v>
      </c>
      <c r="V185" s="2345"/>
      <c r="Y185" s="84"/>
      <c r="Z185" s="84"/>
    </row>
    <row r="186" spans="1:26" ht="34.9" customHeight="1">
      <c r="A186" s="2739"/>
      <c r="B186" s="2366"/>
      <c r="C186" s="2392"/>
      <c r="D186" s="1035" t="s">
        <v>413</v>
      </c>
      <c r="E186" s="1527"/>
      <c r="F186" s="1533"/>
      <c r="G186" s="1527"/>
      <c r="H186" s="1090">
        <v>27.905000000000001</v>
      </c>
      <c r="I186" s="1054">
        <f t="shared" si="86"/>
        <v>-0.28328256584841427</v>
      </c>
      <c r="J186" s="1527">
        <v>20</v>
      </c>
      <c r="K186" s="1053">
        <v>20</v>
      </c>
      <c r="L186" s="1053">
        <v>19.433</v>
      </c>
      <c r="M186" s="1053"/>
      <c r="N186" s="2907"/>
      <c r="O186" s="2363"/>
      <c r="P186" s="2345"/>
      <c r="Q186" s="2345"/>
      <c r="R186" s="2345"/>
      <c r="S186" s="2342"/>
      <c r="T186" s="2342"/>
      <c r="U186" s="2345"/>
      <c r="V186" s="2345"/>
      <c r="Y186" s="84"/>
      <c r="Z186" s="84"/>
    </row>
    <row r="187" spans="1:26" ht="32.450000000000003" customHeight="1">
      <c r="A187" s="2739"/>
      <c r="B187" s="2366"/>
      <c r="C187" s="2392"/>
      <c r="D187" s="1035" t="s">
        <v>471</v>
      </c>
      <c r="E187" s="1527"/>
      <c r="F187" s="1533"/>
      <c r="G187" s="1527"/>
      <c r="H187" s="1090"/>
      <c r="I187" s="1054"/>
      <c r="J187" s="1527"/>
      <c r="K187" s="1053"/>
      <c r="L187" s="1053"/>
      <c r="M187" s="1053"/>
      <c r="N187" s="2907"/>
      <c r="O187" s="2363"/>
      <c r="P187" s="2345"/>
      <c r="Q187" s="2345"/>
      <c r="R187" s="2345"/>
      <c r="S187" s="2342"/>
      <c r="T187" s="2342"/>
      <c r="U187" s="2345"/>
      <c r="V187" s="2345"/>
      <c r="Y187" s="84"/>
      <c r="Z187" s="84"/>
    </row>
    <row r="188" spans="1:26" ht="30" customHeight="1">
      <c r="A188" s="2739"/>
      <c r="B188" s="2368"/>
      <c r="C188" s="2392"/>
      <c r="D188" s="1056" t="s">
        <v>1076</v>
      </c>
      <c r="E188" s="1513">
        <f>E185</f>
        <v>135</v>
      </c>
      <c r="F188" s="1514">
        <f>H188/E188-1</f>
        <v>0.3106740740740741</v>
      </c>
      <c r="G188" s="1513">
        <f t="shared" ref="G188" si="88">G185</f>
        <v>176.941</v>
      </c>
      <c r="H188" s="1091">
        <f>H185+H186+H187</f>
        <v>176.941</v>
      </c>
      <c r="I188" s="1530">
        <f t="shared" si="86"/>
        <v>0.1207690699159607</v>
      </c>
      <c r="J188" s="1531">
        <f>J185+J186+J187</f>
        <v>198.31</v>
      </c>
      <c r="K188" s="1091">
        <f t="shared" ref="K188:M188" si="89">K185+K186+K187</f>
        <v>198.31</v>
      </c>
      <c r="L188" s="1091">
        <f t="shared" si="89"/>
        <v>158.303</v>
      </c>
      <c r="M188" s="1091">
        <f t="shared" si="89"/>
        <v>0</v>
      </c>
      <c r="N188" s="2895"/>
      <c r="O188" s="2401"/>
      <c r="P188" s="2345"/>
      <c r="Q188" s="2345"/>
      <c r="R188" s="2345"/>
      <c r="S188" s="2342"/>
      <c r="T188" s="2342"/>
      <c r="U188" s="2344"/>
      <c r="V188" s="2344"/>
      <c r="Y188" s="84"/>
      <c r="Z188" s="84"/>
    </row>
    <row r="189" spans="1:26" ht="34.15" customHeight="1">
      <c r="A189" s="2739" t="s">
        <v>2143</v>
      </c>
      <c r="B189" s="2366" t="s">
        <v>1252</v>
      </c>
      <c r="C189" s="2392" t="s">
        <v>1080</v>
      </c>
      <c r="D189" s="1153" t="s">
        <v>471</v>
      </c>
      <c r="E189" s="1630">
        <f>SUM(E193,E195)</f>
        <v>78.97399999999999</v>
      </c>
      <c r="F189" s="1533">
        <f t="shared" si="85"/>
        <v>-5.5385316686504371E-2</v>
      </c>
      <c r="G189" s="1630"/>
      <c r="H189" s="1155">
        <f>SUM(H193,H195)</f>
        <v>74.599999999999994</v>
      </c>
      <c r="I189" s="1631">
        <f t="shared" si="86"/>
        <v>0.21099195710455776</v>
      </c>
      <c r="J189" s="1632">
        <f t="shared" ref="J189:M189" si="90">SUM(J193,J195)</f>
        <v>0</v>
      </c>
      <c r="K189" s="1155">
        <f>SUM(K193,K195)</f>
        <v>90.34</v>
      </c>
      <c r="L189" s="1155">
        <f>SUM(L193,L195)</f>
        <v>90.34</v>
      </c>
      <c r="M189" s="1053">
        <f t="shared" si="90"/>
        <v>90.34</v>
      </c>
      <c r="N189" s="2883" t="s">
        <v>2355</v>
      </c>
      <c r="O189" s="2921" t="s">
        <v>1799</v>
      </c>
      <c r="P189" s="2343" t="s">
        <v>1523</v>
      </c>
      <c r="Q189" s="2343" t="s">
        <v>2976</v>
      </c>
      <c r="R189" s="2343">
        <v>120</v>
      </c>
      <c r="S189" s="2342">
        <v>120</v>
      </c>
      <c r="T189" s="2342">
        <v>120</v>
      </c>
      <c r="U189" s="2343" t="s">
        <v>1476</v>
      </c>
      <c r="V189" s="2343" t="s">
        <v>2775</v>
      </c>
      <c r="Y189" s="84"/>
      <c r="Z189" s="84"/>
    </row>
    <row r="190" spans="1:26" ht="33" customHeight="1">
      <c r="A190" s="2739"/>
      <c r="B190" s="2366"/>
      <c r="C190" s="2392"/>
      <c r="D190" s="1156" t="s">
        <v>1122</v>
      </c>
      <c r="E190" s="1527">
        <f>SUM(E194,E196,E197)</f>
        <v>24.200000000000003</v>
      </c>
      <c r="F190" s="1533">
        <f t="shared" si="85"/>
        <v>-5.7851239669421739E-2</v>
      </c>
      <c r="G190" s="1527"/>
      <c r="H190" s="1090">
        <f t="shared" ref="H190:J190" si="91">SUM(H194,H196,H197)</f>
        <v>22.799999999999997</v>
      </c>
      <c r="I190" s="1601">
        <f t="shared" si="86"/>
        <v>6.1403508771930015E-2</v>
      </c>
      <c r="J190" s="1602">
        <f t="shared" si="91"/>
        <v>0.5</v>
      </c>
      <c r="K190" s="1090">
        <f>SUM(K194,K196,K197)</f>
        <v>24.200000000000003</v>
      </c>
      <c r="L190" s="1090">
        <f>SUM(L194,L196,L197)</f>
        <v>24.200000000000003</v>
      </c>
      <c r="M190" s="1053">
        <f>SUM(M194,M196,M197)</f>
        <v>24.200000000000003</v>
      </c>
      <c r="N190" s="2883"/>
      <c r="O190" s="2922"/>
      <c r="P190" s="2345"/>
      <c r="Q190" s="2345"/>
      <c r="R190" s="2345"/>
      <c r="S190" s="2342"/>
      <c r="T190" s="2342"/>
      <c r="U190" s="2345"/>
      <c r="V190" s="2345"/>
      <c r="Y190" s="84"/>
      <c r="Z190" s="84"/>
    </row>
    <row r="191" spans="1:26" ht="28.15" customHeight="1">
      <c r="A191" s="2739"/>
      <c r="B191" s="2366"/>
      <c r="C191" s="2392"/>
      <c r="D191" s="1156" t="s">
        <v>413</v>
      </c>
      <c r="E191" s="1596"/>
      <c r="F191" s="1533"/>
      <c r="G191" s="1596"/>
      <c r="H191" s="1131"/>
      <c r="I191" s="1633"/>
      <c r="J191" s="1634"/>
      <c r="K191" s="1131"/>
      <c r="L191" s="1131"/>
      <c r="M191" s="946"/>
      <c r="N191" s="2883"/>
      <c r="O191" s="2922"/>
      <c r="P191" s="2345"/>
      <c r="Q191" s="2345"/>
      <c r="R191" s="2345"/>
      <c r="S191" s="2342"/>
      <c r="T191" s="2342"/>
      <c r="U191" s="2345"/>
      <c r="V191" s="2345"/>
      <c r="Y191" s="84"/>
      <c r="Z191" s="84"/>
    </row>
    <row r="192" spans="1:26" ht="38.450000000000003" customHeight="1">
      <c r="A192" s="2739"/>
      <c r="B192" s="2366"/>
      <c r="C192" s="2392"/>
      <c r="D192" s="1635" t="s">
        <v>1076</v>
      </c>
      <c r="E192" s="1513">
        <f>SUM(E189:E191)</f>
        <v>103.17399999999999</v>
      </c>
      <c r="F192" s="1514">
        <f t="shared" ref="F192:G192" si="92">SUM(F189:F191)</f>
        <v>-0.11323655635592611</v>
      </c>
      <c r="G192" s="1513">
        <f t="shared" si="92"/>
        <v>0</v>
      </c>
      <c r="H192" s="1091">
        <f>SUM(H189:H191)</f>
        <v>97.399999999999991</v>
      </c>
      <c r="I192" s="1530">
        <f t="shared" si="86"/>
        <v>0.17597535934291608</v>
      </c>
      <c r="J192" s="1531">
        <f t="shared" ref="J192" si="93">SUM(J189:J191)</f>
        <v>0.5</v>
      </c>
      <c r="K192" s="1091">
        <f>SUM(K189:K191)</f>
        <v>114.54</v>
      </c>
      <c r="L192" s="1091">
        <f>SUM(L189:L191)</f>
        <v>114.54</v>
      </c>
      <c r="M192" s="1091">
        <f>SUM(M189:M191)</f>
        <v>114.54</v>
      </c>
      <c r="N192" s="2883"/>
      <c r="O192" s="2922"/>
      <c r="P192" s="2344"/>
      <c r="Q192" s="2345"/>
      <c r="R192" s="2345"/>
      <c r="S192" s="2342"/>
      <c r="T192" s="2342"/>
      <c r="U192" s="2344"/>
      <c r="V192" s="2344"/>
      <c r="Y192" s="84"/>
      <c r="Z192" s="84"/>
    </row>
    <row r="193" spans="1:26" ht="21" hidden="1" customHeight="1">
      <c r="A193" s="2980"/>
      <c r="B193" s="2945" t="s">
        <v>339</v>
      </c>
      <c r="C193" s="2947"/>
      <c r="D193" s="1072" t="s">
        <v>471</v>
      </c>
      <c r="E193" s="1068">
        <v>31.905999999999999</v>
      </c>
      <c r="F193" s="1068"/>
      <c r="G193" s="1068">
        <v>44.853999999999999</v>
      </c>
      <c r="H193" s="1123">
        <v>27</v>
      </c>
      <c r="I193" s="989"/>
      <c r="J193" s="1518"/>
      <c r="K193" s="989">
        <v>30.88</v>
      </c>
      <c r="L193" s="989">
        <v>30.88</v>
      </c>
      <c r="M193" s="989">
        <v>30.88</v>
      </c>
      <c r="N193" s="1685"/>
      <c r="O193" s="1009"/>
      <c r="P193" s="1011"/>
      <c r="Q193" s="1011" t="s">
        <v>1806</v>
      </c>
      <c r="R193" s="1011" t="s">
        <v>1402</v>
      </c>
      <c r="S193" s="1011" t="s">
        <v>1402</v>
      </c>
      <c r="T193" s="1011" t="s">
        <v>1402</v>
      </c>
      <c r="U193" s="1011"/>
      <c r="V193" s="1011"/>
      <c r="Y193" s="84"/>
      <c r="Z193" s="84"/>
    </row>
    <row r="194" spans="1:26" ht="20.100000000000001" hidden="1" customHeight="1">
      <c r="A194" s="2981"/>
      <c r="B194" s="2946"/>
      <c r="C194" s="2948"/>
      <c r="D194" s="1072" t="s">
        <v>1122</v>
      </c>
      <c r="E194" s="1068">
        <v>7.9</v>
      </c>
      <c r="F194" s="1068"/>
      <c r="G194" s="1068">
        <v>0</v>
      </c>
      <c r="H194" s="1123">
        <v>7.4660000000000002</v>
      </c>
      <c r="I194" s="989"/>
      <c r="J194" s="1518"/>
      <c r="K194" s="1636">
        <v>7.9</v>
      </c>
      <c r="L194" s="1636">
        <v>7.9</v>
      </c>
      <c r="M194" s="1636">
        <v>7.9</v>
      </c>
      <c r="N194" s="1685"/>
      <c r="O194" s="1009"/>
      <c r="P194" s="1011"/>
      <c r="Q194" s="1011"/>
      <c r="R194" s="1011"/>
      <c r="S194" s="1011"/>
      <c r="T194" s="1011"/>
      <c r="U194" s="1011"/>
      <c r="V194" s="1011"/>
      <c r="Y194" s="84"/>
      <c r="Z194" s="84"/>
    </row>
    <row r="195" spans="1:26" ht="20.100000000000001" hidden="1" customHeight="1">
      <c r="A195" s="2982"/>
      <c r="B195" s="2949" t="s">
        <v>1447</v>
      </c>
      <c r="C195" s="2990"/>
      <c r="D195" s="1072" t="s">
        <v>471</v>
      </c>
      <c r="E195" s="1068">
        <v>47.067999999999998</v>
      </c>
      <c r="F195" s="1068"/>
      <c r="G195" s="1068"/>
      <c r="H195" s="1123">
        <v>47.6</v>
      </c>
      <c r="I195" s="989"/>
      <c r="J195" s="1518"/>
      <c r="K195" s="989">
        <v>59.46</v>
      </c>
      <c r="L195" s="989">
        <v>59.46</v>
      </c>
      <c r="M195" s="989">
        <v>59.46</v>
      </c>
      <c r="N195" s="1685"/>
      <c r="O195" s="1009"/>
      <c r="P195" s="1011"/>
      <c r="Q195" s="1011"/>
      <c r="R195" s="1011"/>
      <c r="S195" s="1011"/>
      <c r="T195" s="1011"/>
      <c r="U195" s="1011"/>
      <c r="V195" s="1011"/>
      <c r="Y195" s="84"/>
      <c r="Z195" s="84"/>
    </row>
    <row r="196" spans="1:26" ht="20.100000000000001" hidden="1" customHeight="1">
      <c r="A196" s="2981"/>
      <c r="B196" s="2946"/>
      <c r="C196" s="2948"/>
      <c r="D196" s="1072" t="s">
        <v>1122</v>
      </c>
      <c r="E196" s="1068">
        <v>15.8</v>
      </c>
      <c r="F196" s="1068"/>
      <c r="G196" s="1068"/>
      <c r="H196" s="1123">
        <v>14.933999999999999</v>
      </c>
      <c r="I196" s="989"/>
      <c r="J196" s="1518"/>
      <c r="K196" s="989">
        <v>15.8</v>
      </c>
      <c r="L196" s="989">
        <v>15.8</v>
      </c>
      <c r="M196" s="989">
        <v>15.8</v>
      </c>
      <c r="N196" s="1685"/>
      <c r="O196" s="1009"/>
      <c r="P196" s="1011"/>
      <c r="Q196" s="1011"/>
      <c r="R196" s="1011"/>
      <c r="S196" s="1011"/>
      <c r="T196" s="1011"/>
      <c r="U196" s="1011"/>
      <c r="V196" s="1011"/>
      <c r="Y196" s="84"/>
      <c r="Z196" s="84"/>
    </row>
    <row r="197" spans="1:26" ht="28.5" hidden="1" customHeight="1">
      <c r="A197" s="1416"/>
      <c r="B197" s="1537" t="s">
        <v>1087</v>
      </c>
      <c r="C197" s="1538"/>
      <c r="D197" s="1141" t="s">
        <v>1122</v>
      </c>
      <c r="E197" s="1398">
        <v>0.5</v>
      </c>
      <c r="F197" s="1398"/>
      <c r="G197" s="1398"/>
      <c r="H197" s="1637">
        <v>0.4</v>
      </c>
      <c r="I197" s="993"/>
      <c r="J197" s="993">
        <v>0.5</v>
      </c>
      <c r="K197" s="1638">
        <v>0.5</v>
      </c>
      <c r="L197" s="1638">
        <v>0.5</v>
      </c>
      <c r="M197" s="1638">
        <v>0.5</v>
      </c>
      <c r="N197" s="1694"/>
      <c r="O197" s="1012"/>
      <c r="P197" s="1014"/>
      <c r="Q197" s="1014"/>
      <c r="R197" s="1014"/>
      <c r="S197" s="1014"/>
      <c r="T197" s="1014"/>
      <c r="U197" s="1014"/>
      <c r="V197" s="1011"/>
      <c r="Y197" s="84"/>
      <c r="Z197" s="84"/>
    </row>
    <row r="198" spans="1:26" ht="48" customHeight="1">
      <c r="A198" s="2928" t="s">
        <v>2144</v>
      </c>
      <c r="B198" s="2860" t="s">
        <v>4042</v>
      </c>
      <c r="C198" s="2385" t="s">
        <v>1080</v>
      </c>
      <c r="D198" s="1639" t="s">
        <v>471</v>
      </c>
      <c r="E198" s="1053">
        <v>100</v>
      </c>
      <c r="F198" s="1053"/>
      <c r="G198" s="1053"/>
      <c r="H198" s="1053"/>
      <c r="I198" s="1053"/>
      <c r="J198" s="1053"/>
      <c r="K198" s="1053"/>
      <c r="L198" s="1053"/>
      <c r="M198" s="1053"/>
      <c r="N198" s="2394" t="s">
        <v>2355</v>
      </c>
      <c r="O198" s="2395" t="s">
        <v>4023</v>
      </c>
      <c r="P198" s="2342" t="s">
        <v>1524</v>
      </c>
      <c r="Q198" s="2342" t="s">
        <v>4039</v>
      </c>
      <c r="R198" s="2342">
        <v>0</v>
      </c>
      <c r="S198" s="2342" t="s">
        <v>4040</v>
      </c>
      <c r="T198" s="2342" t="s">
        <v>4012</v>
      </c>
      <c r="U198" s="2342" t="s">
        <v>4012</v>
      </c>
      <c r="V198" s="2342" t="s">
        <v>943</v>
      </c>
      <c r="Y198" s="84"/>
      <c r="Z198" s="84"/>
    </row>
    <row r="199" spans="1:26" ht="48" customHeight="1">
      <c r="A199" s="2929"/>
      <c r="B199" s="2860"/>
      <c r="C199" s="2385"/>
      <c r="D199" s="1639" t="s">
        <v>1122</v>
      </c>
      <c r="E199" s="1053">
        <v>300</v>
      </c>
      <c r="F199" s="1053"/>
      <c r="G199" s="1053"/>
      <c r="H199" s="1053"/>
      <c r="I199" s="1053"/>
      <c r="J199" s="1053"/>
      <c r="K199" s="1053">
        <f>K201+K202</f>
        <v>17.8</v>
      </c>
      <c r="L199" s="1053">
        <f t="shared" ref="L199:M199" si="94">L201+L202</f>
        <v>17.8</v>
      </c>
      <c r="M199" s="1053">
        <f t="shared" si="94"/>
        <v>17.8</v>
      </c>
      <c r="N199" s="2394"/>
      <c r="O199" s="2395"/>
      <c r="P199" s="2342"/>
      <c r="Q199" s="2342"/>
      <c r="R199" s="2342"/>
      <c r="S199" s="2342"/>
      <c r="T199" s="2342"/>
      <c r="U199" s="2342"/>
      <c r="V199" s="2342"/>
      <c r="Y199" s="84"/>
      <c r="Z199" s="84"/>
    </row>
    <row r="200" spans="1:26" ht="48" customHeight="1">
      <c r="A200" s="2929"/>
      <c r="B200" s="2432"/>
      <c r="C200" s="2419"/>
      <c r="D200" s="1056" t="s">
        <v>1076</v>
      </c>
      <c r="E200" s="1059">
        <f>SUM(E198:E199)</f>
        <v>400</v>
      </c>
      <c r="F200" s="1059"/>
      <c r="G200" s="1059"/>
      <c r="H200" s="1059"/>
      <c r="I200" s="1059"/>
      <c r="J200" s="1059"/>
      <c r="K200" s="1059">
        <f>K199</f>
        <v>17.8</v>
      </c>
      <c r="L200" s="1059">
        <f>L199</f>
        <v>17.8</v>
      </c>
      <c r="M200" s="1059">
        <f>M199</f>
        <v>17.8</v>
      </c>
      <c r="N200" s="2394"/>
      <c r="O200" s="2396"/>
      <c r="P200" s="2342"/>
      <c r="Q200" s="2342"/>
      <c r="R200" s="2342"/>
      <c r="S200" s="2342"/>
      <c r="T200" s="2342"/>
      <c r="U200" s="2342"/>
      <c r="V200" s="2342"/>
      <c r="Y200" s="84"/>
      <c r="Z200" s="84"/>
    </row>
    <row r="201" spans="1:26" ht="29.45" hidden="1" customHeight="1">
      <c r="A201" s="1519"/>
      <c r="B201" s="957" t="s">
        <v>4041</v>
      </c>
      <c r="C201" s="1640"/>
      <c r="D201" s="990"/>
      <c r="E201" s="989"/>
      <c r="F201" s="989"/>
      <c r="G201" s="989"/>
      <c r="H201" s="989"/>
      <c r="I201" s="989"/>
      <c r="J201" s="989"/>
      <c r="K201" s="989">
        <v>13.8</v>
      </c>
      <c r="L201" s="989">
        <v>13.8</v>
      </c>
      <c r="M201" s="989">
        <v>13.8</v>
      </c>
      <c r="N201" s="179"/>
      <c r="O201" s="1001"/>
      <c r="P201" s="1004"/>
      <c r="Q201" s="1004"/>
      <c r="R201" s="1004"/>
      <c r="S201" s="1004"/>
      <c r="T201" s="1004"/>
      <c r="U201" s="1004"/>
      <c r="V201" s="947"/>
      <c r="Y201" s="84"/>
      <c r="Z201" s="84"/>
    </row>
    <row r="202" spans="1:26" ht="28.15" hidden="1" customHeight="1">
      <c r="A202" s="1519"/>
      <c r="B202" s="957" t="s">
        <v>2703</v>
      </c>
      <c r="C202" s="1640"/>
      <c r="D202" s="990"/>
      <c r="E202" s="989"/>
      <c r="F202" s="989"/>
      <c r="G202" s="989"/>
      <c r="H202" s="989"/>
      <c r="I202" s="989"/>
      <c r="J202" s="989"/>
      <c r="K202" s="989">
        <v>4</v>
      </c>
      <c r="L202" s="989">
        <v>4</v>
      </c>
      <c r="M202" s="989">
        <v>4</v>
      </c>
      <c r="N202" s="179"/>
      <c r="O202" s="1001"/>
      <c r="P202" s="1004"/>
      <c r="Q202" s="1004"/>
      <c r="R202" s="1004"/>
      <c r="S202" s="1004"/>
      <c r="T202" s="1004"/>
      <c r="U202" s="1004"/>
      <c r="V202" s="947"/>
      <c r="Y202" s="84"/>
      <c r="Z202" s="84"/>
    </row>
    <row r="203" spans="1:26" ht="29.25" customHeight="1">
      <c r="A203" s="2739" t="s">
        <v>2145</v>
      </c>
      <c r="B203" s="2366" t="s">
        <v>2977</v>
      </c>
      <c r="C203" s="2392">
        <v>300079075</v>
      </c>
      <c r="D203" s="1035" t="s">
        <v>2928</v>
      </c>
      <c r="E203" s="1527">
        <v>39.22</v>
      </c>
      <c r="F203" s="1534">
        <f t="shared" ref="F203:F206" si="95">H203/E203-1</f>
        <v>-0.39051504334523202</v>
      </c>
      <c r="G203" s="1527"/>
      <c r="H203" s="1053">
        <v>23.904</v>
      </c>
      <c r="I203" s="1054">
        <f t="shared" ref="I203:I211" si="96">K203/H203-1</f>
        <v>-1</v>
      </c>
      <c r="J203" s="1527"/>
      <c r="K203" s="1053"/>
      <c r="L203" s="1053"/>
      <c r="M203" s="1053"/>
      <c r="N203" s="2394" t="s">
        <v>2358</v>
      </c>
      <c r="O203" s="2395" t="s">
        <v>3792</v>
      </c>
      <c r="P203" s="2342" t="s">
        <v>1525</v>
      </c>
      <c r="Q203" s="2342" t="s">
        <v>1484</v>
      </c>
      <c r="R203" s="2342">
        <v>1</v>
      </c>
      <c r="S203" s="2342">
        <v>1</v>
      </c>
      <c r="T203" s="2342">
        <v>1</v>
      </c>
      <c r="U203" s="2342" t="s">
        <v>324</v>
      </c>
      <c r="V203" s="2342" t="s">
        <v>2357</v>
      </c>
      <c r="Y203" s="84"/>
      <c r="Z203" s="84"/>
    </row>
    <row r="204" spans="1:26" ht="31.5" customHeight="1">
      <c r="A204" s="2739"/>
      <c r="B204" s="2366"/>
      <c r="C204" s="2392"/>
      <c r="D204" s="1035" t="s">
        <v>471</v>
      </c>
      <c r="E204" s="1527"/>
      <c r="F204" s="1534"/>
      <c r="G204" s="1527"/>
      <c r="H204" s="1053"/>
      <c r="I204" s="1054"/>
      <c r="J204" s="1527"/>
      <c r="K204" s="1053"/>
      <c r="L204" s="1053"/>
      <c r="M204" s="1053"/>
      <c r="N204" s="2394"/>
      <c r="O204" s="2395"/>
      <c r="P204" s="2342"/>
      <c r="Q204" s="2342"/>
      <c r="R204" s="2342"/>
      <c r="S204" s="2342"/>
      <c r="T204" s="2342"/>
      <c r="U204" s="2342"/>
      <c r="V204" s="2342"/>
      <c r="Y204" s="84"/>
      <c r="Z204" s="84"/>
    </row>
    <row r="205" spans="1:26" ht="30" customHeight="1">
      <c r="A205" s="2739"/>
      <c r="B205" s="2366"/>
      <c r="C205" s="2392"/>
      <c r="D205" s="1035" t="s">
        <v>1394</v>
      </c>
      <c r="E205" s="1527">
        <v>100</v>
      </c>
      <c r="F205" s="1534">
        <f t="shared" si="95"/>
        <v>0</v>
      </c>
      <c r="G205" s="1527"/>
      <c r="H205" s="1053">
        <v>100</v>
      </c>
      <c r="I205" s="1054">
        <f t="shared" si="96"/>
        <v>-0.7379</v>
      </c>
      <c r="J205" s="1527">
        <v>26.213999999999999</v>
      </c>
      <c r="K205" s="1535">
        <v>26.21</v>
      </c>
      <c r="L205" s="1053"/>
      <c r="M205" s="1053"/>
      <c r="N205" s="2394"/>
      <c r="O205" s="2396"/>
      <c r="P205" s="2342"/>
      <c r="Q205" s="2342"/>
      <c r="R205" s="2342"/>
      <c r="S205" s="2342"/>
      <c r="T205" s="2342"/>
      <c r="U205" s="2342"/>
      <c r="V205" s="2342"/>
      <c r="Y205" s="84"/>
      <c r="Z205" s="84"/>
    </row>
    <row r="206" spans="1:26" ht="29.25" customHeight="1">
      <c r="A206" s="2739"/>
      <c r="B206" s="2366"/>
      <c r="C206" s="2392"/>
      <c r="D206" s="1056" t="s">
        <v>1076</v>
      </c>
      <c r="E206" s="1513">
        <f>SUM(E203:E205)</f>
        <v>139.22</v>
      </c>
      <c r="F206" s="1514">
        <f t="shared" si="95"/>
        <v>-0.11001292917684247</v>
      </c>
      <c r="G206" s="1513">
        <f>SUM(G203:G205)</f>
        <v>0</v>
      </c>
      <c r="H206" s="1059">
        <f>SUM(H203:H205)</f>
        <v>123.904</v>
      </c>
      <c r="I206" s="1060">
        <f t="shared" si="96"/>
        <v>-0.78846526342975209</v>
      </c>
      <c r="J206" s="1513">
        <f t="shared" ref="J206:M206" si="97">SUM(J203:J205)</f>
        <v>26.213999999999999</v>
      </c>
      <c r="K206" s="1059">
        <f t="shared" si="97"/>
        <v>26.21</v>
      </c>
      <c r="L206" s="1059">
        <f t="shared" si="97"/>
        <v>0</v>
      </c>
      <c r="M206" s="1059">
        <f t="shared" si="97"/>
        <v>0</v>
      </c>
      <c r="N206" s="2394"/>
      <c r="O206" s="2396"/>
      <c r="P206" s="2342"/>
      <c r="Q206" s="2342"/>
      <c r="R206" s="2342"/>
      <c r="S206" s="2342"/>
      <c r="T206" s="2342"/>
      <c r="U206" s="2342"/>
      <c r="V206" s="2342"/>
      <c r="Y206" s="84"/>
      <c r="Z206" s="84"/>
    </row>
    <row r="207" spans="1:26" ht="33.75" customHeight="1">
      <c r="A207" s="2739" t="s">
        <v>3738</v>
      </c>
      <c r="B207" s="2366" t="s">
        <v>3739</v>
      </c>
      <c r="C207" s="2392" t="s">
        <v>3275</v>
      </c>
      <c r="D207" s="1035" t="s">
        <v>2928</v>
      </c>
      <c r="E207" s="1527"/>
      <c r="F207" s="1527"/>
      <c r="G207" s="1527"/>
      <c r="H207" s="1053">
        <v>10</v>
      </c>
      <c r="I207" s="1054">
        <f t="shared" si="96"/>
        <v>2.8221000000000003</v>
      </c>
      <c r="J207" s="1527">
        <f>SUM(J212,J216)</f>
        <v>0</v>
      </c>
      <c r="K207" s="1535">
        <f>SUM(K212,K216)</f>
        <v>38.221000000000004</v>
      </c>
      <c r="L207" s="1535">
        <f t="shared" ref="L207:M207" si="98">SUM(L212,L216)</f>
        <v>0</v>
      </c>
      <c r="M207" s="1535">
        <f t="shared" si="98"/>
        <v>0</v>
      </c>
      <c r="N207" s="2394" t="s">
        <v>2358</v>
      </c>
      <c r="O207" s="2395" t="s">
        <v>3740</v>
      </c>
      <c r="P207" s="2342" t="s">
        <v>1526</v>
      </c>
      <c r="Q207" s="2342" t="s">
        <v>1485</v>
      </c>
      <c r="R207" s="947">
        <v>0</v>
      </c>
      <c r="S207" s="2342">
        <v>0</v>
      </c>
      <c r="T207" s="2342">
        <v>1</v>
      </c>
      <c r="U207" s="2342"/>
      <c r="V207" s="2342"/>
      <c r="Y207" s="84"/>
      <c r="Z207" s="84"/>
    </row>
    <row r="208" spans="1:26" ht="33" customHeight="1">
      <c r="A208" s="2739"/>
      <c r="B208" s="2366"/>
      <c r="C208" s="2392"/>
      <c r="D208" s="1035" t="s">
        <v>471</v>
      </c>
      <c r="E208" s="1527"/>
      <c r="F208" s="1527"/>
      <c r="G208" s="1527"/>
      <c r="H208" s="1053"/>
      <c r="I208" s="1054"/>
      <c r="J208" s="1527">
        <f>SUM(J213,J217)</f>
        <v>38.220000000000006</v>
      </c>
      <c r="K208" s="1535">
        <v>0</v>
      </c>
      <c r="L208" s="1535">
        <f>SUM(L213,L217)</f>
        <v>80.269000000000005</v>
      </c>
      <c r="M208" s="1535">
        <v>0</v>
      </c>
      <c r="N208" s="2394"/>
      <c r="O208" s="2395"/>
      <c r="P208" s="2342"/>
      <c r="Q208" s="2342"/>
      <c r="R208" s="947"/>
      <c r="S208" s="2342"/>
      <c r="T208" s="2342"/>
      <c r="U208" s="2342"/>
      <c r="V208" s="2342"/>
      <c r="Y208" s="84"/>
      <c r="Z208" s="84"/>
    </row>
    <row r="209" spans="1:26" ht="57" customHeight="1">
      <c r="A209" s="2739"/>
      <c r="B209" s="2366"/>
      <c r="C209" s="2392"/>
      <c r="D209" s="1035" t="s">
        <v>246</v>
      </c>
      <c r="E209" s="1527"/>
      <c r="F209" s="1527"/>
      <c r="G209" s="1527"/>
      <c r="H209" s="1053"/>
      <c r="I209" s="1054"/>
      <c r="J209" s="1527">
        <f>SUM(J214,J218)</f>
        <v>216.58</v>
      </c>
      <c r="K209" s="1535">
        <f t="shared" ref="K209:M209" si="99">SUM(K214,K218)</f>
        <v>216.58</v>
      </c>
      <c r="L209" s="1535">
        <f t="shared" si="99"/>
        <v>454.863</v>
      </c>
      <c r="M209" s="1535">
        <f t="shared" si="99"/>
        <v>109.14</v>
      </c>
      <c r="N209" s="2394"/>
      <c r="O209" s="2396"/>
      <c r="P209" s="2342"/>
      <c r="Q209" s="2342" t="s">
        <v>2689</v>
      </c>
      <c r="R209" s="947" t="s">
        <v>434</v>
      </c>
      <c r="S209" s="2342" t="s">
        <v>434</v>
      </c>
      <c r="T209" s="2342" t="s">
        <v>1464</v>
      </c>
      <c r="U209" s="2342"/>
      <c r="V209" s="2342"/>
      <c r="Y209" s="84"/>
      <c r="Z209" s="84"/>
    </row>
    <row r="210" spans="1:26" ht="48" customHeight="1">
      <c r="A210" s="2739"/>
      <c r="B210" s="2366"/>
      <c r="C210" s="2392"/>
      <c r="D210" s="1035" t="s">
        <v>1394</v>
      </c>
      <c r="E210" s="1527"/>
      <c r="F210" s="1527"/>
      <c r="G210" s="1527"/>
      <c r="H210" s="1053"/>
      <c r="I210" s="1054"/>
      <c r="J210" s="1527"/>
      <c r="K210" s="1535"/>
      <c r="L210" s="1535"/>
      <c r="M210" s="1535">
        <v>19.260000000000002</v>
      </c>
      <c r="N210" s="2394"/>
      <c r="O210" s="2396"/>
      <c r="P210" s="2342"/>
      <c r="Q210" s="2342"/>
      <c r="R210" s="947"/>
      <c r="S210" s="2342"/>
      <c r="T210" s="2342"/>
      <c r="U210" s="2342"/>
      <c r="V210" s="2342"/>
      <c r="Y210" s="84"/>
      <c r="Z210" s="84"/>
    </row>
    <row r="211" spans="1:26" ht="50.25" customHeight="1">
      <c r="A211" s="2739"/>
      <c r="B211" s="2366"/>
      <c r="C211" s="2392"/>
      <c r="D211" s="1056" t="s">
        <v>1076</v>
      </c>
      <c r="E211" s="1513">
        <f>E207</f>
        <v>0</v>
      </c>
      <c r="F211" s="1513">
        <f t="shared" ref="F211:H211" si="100">F207</f>
        <v>0</v>
      </c>
      <c r="G211" s="1513">
        <f t="shared" si="100"/>
        <v>0</v>
      </c>
      <c r="H211" s="1059">
        <f t="shared" si="100"/>
        <v>10</v>
      </c>
      <c r="I211" s="1060">
        <f t="shared" si="96"/>
        <v>24.4801</v>
      </c>
      <c r="J211" s="1513">
        <f>SUM(J207,J208,J209,)</f>
        <v>254.8</v>
      </c>
      <c r="K211" s="1560">
        <f t="shared" ref="K211:L211" si="101">SUM(K207,K208,K209,)</f>
        <v>254.80100000000002</v>
      </c>
      <c r="L211" s="1560">
        <f t="shared" si="101"/>
        <v>535.13200000000006</v>
      </c>
      <c r="M211" s="1560">
        <f>SUM(M207,M208,M209:M210,)</f>
        <v>128.4</v>
      </c>
      <c r="N211" s="2394"/>
      <c r="O211" s="2396"/>
      <c r="P211" s="2342"/>
      <c r="Q211" s="947" t="s">
        <v>2978</v>
      </c>
      <c r="R211" s="947" t="s">
        <v>434</v>
      </c>
      <c r="S211" s="947" t="s">
        <v>434</v>
      </c>
      <c r="T211" s="947" t="s">
        <v>1476</v>
      </c>
      <c r="U211" s="947"/>
      <c r="V211" s="2342"/>
      <c r="Y211" s="84"/>
      <c r="Z211" s="84"/>
    </row>
    <row r="212" spans="1:26" ht="29.25" hidden="1" customHeight="1">
      <c r="A212" s="2784" t="s">
        <v>3402</v>
      </c>
      <c r="B212" s="2563" t="s">
        <v>2703</v>
      </c>
      <c r="C212" s="1547"/>
      <c r="D212" s="990" t="s">
        <v>2928</v>
      </c>
      <c r="E212" s="1120"/>
      <c r="F212" s="1120"/>
      <c r="G212" s="1120"/>
      <c r="H212" s="1075"/>
      <c r="I212" s="1075"/>
      <c r="J212" s="1524"/>
      <c r="K212" s="989">
        <v>0.52700000000000002</v>
      </c>
      <c r="L212" s="1075"/>
      <c r="M212" s="1075"/>
      <c r="N212" s="591"/>
      <c r="O212" s="989"/>
      <c r="P212" s="1011"/>
      <c r="Q212" s="1011"/>
      <c r="R212" s="1011"/>
      <c r="S212" s="1011"/>
      <c r="T212" s="1011"/>
      <c r="U212" s="1011"/>
      <c r="V212" s="1011"/>
      <c r="Y212" s="84"/>
      <c r="Z212" s="84"/>
    </row>
    <row r="213" spans="1:26" ht="28.5" hidden="1" customHeight="1">
      <c r="A213" s="2976"/>
      <c r="B213" s="2563"/>
      <c r="C213" s="1547"/>
      <c r="D213" s="990" t="s">
        <v>471</v>
      </c>
      <c r="E213" s="1120"/>
      <c r="F213" s="1120"/>
      <c r="G213" s="1120"/>
      <c r="H213" s="1075"/>
      <c r="I213" s="1075"/>
      <c r="J213" s="1518">
        <v>0.52600000000000002</v>
      </c>
      <c r="K213" s="989">
        <v>0</v>
      </c>
      <c r="L213" s="989">
        <v>0.9</v>
      </c>
      <c r="M213" s="989">
        <v>0.376</v>
      </c>
      <c r="N213" s="591"/>
      <c r="O213" s="989"/>
      <c r="P213" s="1011"/>
      <c r="Q213" s="1011"/>
      <c r="R213" s="1011"/>
      <c r="S213" s="1011"/>
      <c r="T213" s="1011"/>
      <c r="U213" s="1011"/>
      <c r="V213" s="1011"/>
      <c r="Y213" s="84"/>
      <c r="Z213" s="84"/>
    </row>
    <row r="214" spans="1:26" ht="26.25" hidden="1" customHeight="1">
      <c r="A214" s="2976"/>
      <c r="B214" s="2563"/>
      <c r="C214" s="1547"/>
      <c r="D214" s="990" t="s">
        <v>246</v>
      </c>
      <c r="E214" s="1120"/>
      <c r="F214" s="1120"/>
      <c r="G214" s="1120"/>
      <c r="H214" s="1075"/>
      <c r="I214" s="1075"/>
      <c r="J214" s="1518">
        <v>2.9790000000000001</v>
      </c>
      <c r="K214" s="989">
        <v>2.9790000000000001</v>
      </c>
      <c r="L214" s="989">
        <v>5.1070000000000002</v>
      </c>
      <c r="M214" s="989">
        <v>2.1280000000000001</v>
      </c>
      <c r="N214" s="591"/>
      <c r="O214" s="989"/>
      <c r="P214" s="1011"/>
      <c r="Q214" s="1011"/>
      <c r="R214" s="1011"/>
      <c r="S214" s="1011"/>
      <c r="T214" s="1011"/>
      <c r="U214" s="1011"/>
      <c r="V214" s="1011"/>
      <c r="Y214" s="84"/>
      <c r="Z214" s="84"/>
    </row>
    <row r="215" spans="1:26" ht="27" hidden="1" customHeight="1">
      <c r="A215" s="2976"/>
      <c r="B215" s="2563"/>
      <c r="C215" s="1547"/>
      <c r="D215" s="1022" t="s">
        <v>1076</v>
      </c>
      <c r="E215" s="1120"/>
      <c r="F215" s="1120"/>
      <c r="G215" s="1120"/>
      <c r="H215" s="1075"/>
      <c r="I215" s="1075"/>
      <c r="J215" s="1524">
        <f>SUM(J212,J213,J214)</f>
        <v>3.5049999999999999</v>
      </c>
      <c r="K215" s="1075">
        <f t="shared" ref="K215:M215" si="102">SUM(K212,K213,K214)</f>
        <v>3.5060000000000002</v>
      </c>
      <c r="L215" s="1075">
        <f t="shared" si="102"/>
        <v>6.0070000000000006</v>
      </c>
      <c r="M215" s="1075">
        <f t="shared" si="102"/>
        <v>2.504</v>
      </c>
      <c r="N215" s="591"/>
      <c r="O215" s="989"/>
      <c r="P215" s="1011"/>
      <c r="Q215" s="1011"/>
      <c r="R215" s="1011"/>
      <c r="S215" s="1011"/>
      <c r="T215" s="1011"/>
      <c r="U215" s="1011"/>
      <c r="V215" s="1011"/>
      <c r="Y215" s="84"/>
      <c r="Z215" s="84"/>
    </row>
    <row r="216" spans="1:26" ht="29.25" hidden="1" customHeight="1">
      <c r="A216" s="2977" t="s">
        <v>3401</v>
      </c>
      <c r="B216" s="2979" t="s">
        <v>1450</v>
      </c>
      <c r="C216" s="1642"/>
      <c r="D216" s="1643" t="s">
        <v>2928</v>
      </c>
      <c r="E216" s="1644"/>
      <c r="F216" s="1644"/>
      <c r="G216" s="1644"/>
      <c r="H216" s="1645"/>
      <c r="I216" s="1645"/>
      <c r="J216" s="1646"/>
      <c r="K216" s="1647">
        <v>37.694000000000003</v>
      </c>
      <c r="L216" s="1645"/>
      <c r="M216" s="1645"/>
      <c r="N216" s="595"/>
      <c r="O216" s="1647"/>
      <c r="P216" s="1641"/>
      <c r="Q216" s="1641"/>
      <c r="R216" s="1641"/>
      <c r="S216" s="1641"/>
      <c r="T216" s="1641"/>
      <c r="U216" s="1641"/>
      <c r="V216" s="1641"/>
      <c r="Y216" s="84"/>
      <c r="Z216" s="84"/>
    </row>
    <row r="217" spans="1:26" ht="31.5" hidden="1" customHeight="1">
      <c r="A217" s="2978"/>
      <c r="B217" s="2979"/>
      <c r="C217" s="1642"/>
      <c r="D217" s="1643" t="s">
        <v>471</v>
      </c>
      <c r="E217" s="1644"/>
      <c r="F217" s="1644"/>
      <c r="G217" s="1644"/>
      <c r="H217" s="1645"/>
      <c r="I217" s="1645"/>
      <c r="J217" s="1648">
        <v>37.694000000000003</v>
      </c>
      <c r="K217" s="1647">
        <v>0</v>
      </c>
      <c r="L217" s="1647">
        <v>79.369</v>
      </c>
      <c r="M217" s="1647">
        <v>18.885000000000002</v>
      </c>
      <c r="N217" s="595"/>
      <c r="O217" s="1647"/>
      <c r="P217" s="1641"/>
      <c r="Q217" s="1641"/>
      <c r="R217" s="1641"/>
      <c r="S217" s="1641"/>
      <c r="T217" s="1641"/>
      <c r="U217" s="1641"/>
      <c r="V217" s="1641"/>
      <c r="Y217" s="84"/>
      <c r="Z217" s="84"/>
    </row>
    <row r="218" spans="1:26" ht="30" hidden="1" customHeight="1">
      <c r="A218" s="2978"/>
      <c r="B218" s="2979"/>
      <c r="C218" s="1642"/>
      <c r="D218" s="1643" t="s">
        <v>246</v>
      </c>
      <c r="E218" s="1644"/>
      <c r="F218" s="1644"/>
      <c r="G218" s="1644"/>
      <c r="H218" s="1645"/>
      <c r="I218" s="1645"/>
      <c r="J218" s="1648">
        <v>213.601</v>
      </c>
      <c r="K218" s="1647">
        <v>213.601</v>
      </c>
      <c r="L218" s="1647">
        <v>449.75599999999997</v>
      </c>
      <c r="M218" s="1647">
        <v>107.012</v>
      </c>
      <c r="N218" s="595"/>
      <c r="O218" s="1647"/>
      <c r="P218" s="1641"/>
      <c r="Q218" s="1641"/>
      <c r="R218" s="1641"/>
      <c r="S218" s="1641"/>
      <c r="T218" s="1641"/>
      <c r="U218" s="1641"/>
      <c r="V218" s="1641"/>
      <c r="Y218" s="84"/>
      <c r="Z218" s="84"/>
    </row>
    <row r="219" spans="1:26" ht="33" hidden="1" customHeight="1">
      <c r="A219" s="2978"/>
      <c r="B219" s="2979"/>
      <c r="C219" s="1642"/>
      <c r="D219" s="1649" t="s">
        <v>1076</v>
      </c>
      <c r="E219" s="1644"/>
      <c r="F219" s="1644"/>
      <c r="G219" s="1644"/>
      <c r="H219" s="1645"/>
      <c r="I219" s="1645"/>
      <c r="J219" s="1646">
        <f>SUM(J216,J217,J218)</f>
        <v>251.29500000000002</v>
      </c>
      <c r="K219" s="1645">
        <f t="shared" ref="K219:M219" si="103">SUM(K216,K217,K218)</f>
        <v>251.29500000000002</v>
      </c>
      <c r="L219" s="1645">
        <f t="shared" si="103"/>
        <v>529.125</v>
      </c>
      <c r="M219" s="1645">
        <f t="shared" si="103"/>
        <v>125.89700000000001</v>
      </c>
      <c r="N219" s="595"/>
      <c r="O219" s="1647"/>
      <c r="P219" s="1641"/>
      <c r="Q219" s="1641"/>
      <c r="R219" s="1641"/>
      <c r="S219" s="1641"/>
      <c r="T219" s="1641"/>
      <c r="U219" s="1641"/>
      <c r="V219" s="1641"/>
      <c r="Y219" s="84"/>
      <c r="Z219" s="84"/>
    </row>
    <row r="220" spans="1:26" ht="78.599999999999994" customHeight="1">
      <c r="A220" s="2739" t="s">
        <v>2146</v>
      </c>
      <c r="B220" s="2860" t="s">
        <v>3743</v>
      </c>
      <c r="C220" s="2392">
        <v>188711925</v>
      </c>
      <c r="D220" s="1035" t="s">
        <v>471</v>
      </c>
      <c r="E220" s="1527">
        <v>7</v>
      </c>
      <c r="F220" s="1534">
        <f t="shared" ref="F220:F221" si="104">H220/E220-1</f>
        <v>0.4285714285714286</v>
      </c>
      <c r="G220" s="1527">
        <v>12</v>
      </c>
      <c r="H220" s="1053">
        <v>10</v>
      </c>
      <c r="I220" s="1054">
        <f t="shared" ref="I220:I221" si="105">K220/H220-1</f>
        <v>0.30000000000000004</v>
      </c>
      <c r="J220" s="1527">
        <f>SUM(J222,J226)</f>
        <v>14.9</v>
      </c>
      <c r="K220" s="1535">
        <f t="shared" ref="K220:M220" si="106">SUM(K222,K226)</f>
        <v>13</v>
      </c>
      <c r="L220" s="1535">
        <f t="shared" si="106"/>
        <v>13</v>
      </c>
      <c r="M220" s="1535">
        <f t="shared" si="106"/>
        <v>13</v>
      </c>
      <c r="N220" s="2394" t="s">
        <v>2359</v>
      </c>
      <c r="O220" s="2395" t="s">
        <v>3558</v>
      </c>
      <c r="P220" s="2342" t="s">
        <v>1527</v>
      </c>
      <c r="Q220" s="2342" t="s">
        <v>4017</v>
      </c>
      <c r="R220" s="2342">
        <v>1</v>
      </c>
      <c r="S220" s="2342" t="s">
        <v>433</v>
      </c>
      <c r="T220" s="2342" t="s">
        <v>433</v>
      </c>
      <c r="U220" s="2342" t="s">
        <v>433</v>
      </c>
      <c r="V220" s="2342" t="s">
        <v>2360</v>
      </c>
      <c r="Y220" s="84"/>
      <c r="Z220" s="84"/>
    </row>
    <row r="221" spans="1:26" ht="123" customHeight="1">
      <c r="A221" s="2739"/>
      <c r="B221" s="2860"/>
      <c r="C221" s="2392"/>
      <c r="D221" s="1056" t="s">
        <v>1076</v>
      </c>
      <c r="E221" s="1513">
        <f>E220</f>
        <v>7</v>
      </c>
      <c r="F221" s="1514">
        <f t="shared" si="104"/>
        <v>0.4285714285714286</v>
      </c>
      <c r="G221" s="1513">
        <f t="shared" ref="G221:M221" si="107">G220</f>
        <v>12</v>
      </c>
      <c r="H221" s="1059">
        <f t="shared" si="107"/>
        <v>10</v>
      </c>
      <c r="I221" s="1060">
        <f t="shared" si="105"/>
        <v>0.30000000000000004</v>
      </c>
      <c r="J221" s="1513">
        <f t="shared" si="107"/>
        <v>14.9</v>
      </c>
      <c r="K221" s="1059">
        <f t="shared" si="107"/>
        <v>13</v>
      </c>
      <c r="L221" s="1059">
        <f t="shared" si="107"/>
        <v>13</v>
      </c>
      <c r="M221" s="1059">
        <f t="shared" si="107"/>
        <v>13</v>
      </c>
      <c r="N221" s="2394"/>
      <c r="O221" s="2396"/>
      <c r="P221" s="2342"/>
      <c r="Q221" s="2342"/>
      <c r="R221" s="2342"/>
      <c r="S221" s="2342"/>
      <c r="T221" s="2342"/>
      <c r="U221" s="2342"/>
      <c r="V221" s="2342"/>
      <c r="Y221" s="84"/>
      <c r="Z221" s="84"/>
    </row>
    <row r="222" spans="1:26" ht="23.25" hidden="1" customHeight="1">
      <c r="A222" s="1417"/>
      <c r="B222" s="957" t="s">
        <v>3741</v>
      </c>
      <c r="C222" s="1547"/>
      <c r="D222" s="1022"/>
      <c r="E222" s="1075"/>
      <c r="F222" s="1067"/>
      <c r="G222" s="1075"/>
      <c r="H222" s="1075"/>
      <c r="I222" s="1075"/>
      <c r="J222" s="1518">
        <v>10</v>
      </c>
      <c r="K222" s="989">
        <v>10</v>
      </c>
      <c r="L222" s="989">
        <v>10</v>
      </c>
      <c r="M222" s="989">
        <v>10</v>
      </c>
      <c r="N222" s="699"/>
      <c r="O222" s="1592"/>
      <c r="P222" s="1384"/>
      <c r="Q222" s="1384"/>
      <c r="R222" s="1384"/>
      <c r="S222" s="1032"/>
      <c r="T222" s="1032"/>
      <c r="U222" s="1004"/>
      <c r="V222" s="996"/>
      <c r="Y222" s="84"/>
      <c r="Z222" s="84"/>
    </row>
    <row r="223" spans="1:26" ht="48" hidden="1" customHeight="1">
      <c r="A223" s="2926" t="s">
        <v>2147</v>
      </c>
      <c r="B223" s="2927" t="s">
        <v>2979</v>
      </c>
      <c r="C223" s="2923">
        <v>188711925</v>
      </c>
      <c r="D223" s="1651" t="s">
        <v>471</v>
      </c>
      <c r="E223" s="1405">
        <v>7.9480000000000004</v>
      </c>
      <c r="F223" s="1405"/>
      <c r="G223" s="1405"/>
      <c r="H223" s="1652"/>
      <c r="I223" s="1405"/>
      <c r="J223" s="1653"/>
      <c r="K223" s="1421"/>
      <c r="L223" s="1421"/>
      <c r="M223" s="1421"/>
      <c r="N223" s="2894" t="s">
        <v>2358</v>
      </c>
      <c r="O223" s="2857" t="s">
        <v>2587</v>
      </c>
      <c r="P223" s="2852" t="s">
        <v>1528</v>
      </c>
      <c r="Q223" s="2852" t="s">
        <v>1486</v>
      </c>
      <c r="R223" s="2852">
        <v>1</v>
      </c>
      <c r="S223" s="2851" t="s">
        <v>324</v>
      </c>
      <c r="T223" s="2851" t="s">
        <v>324</v>
      </c>
      <c r="U223" s="2852"/>
      <c r="V223" s="2343" t="s">
        <v>2357</v>
      </c>
      <c r="Y223" s="84"/>
      <c r="Z223" s="84"/>
    </row>
    <row r="224" spans="1:26" ht="48" hidden="1" customHeight="1">
      <c r="A224" s="2926"/>
      <c r="B224" s="2927"/>
      <c r="C224" s="2923"/>
      <c r="D224" s="1651" t="s">
        <v>246</v>
      </c>
      <c r="E224" s="1404"/>
      <c r="F224" s="1404"/>
      <c r="G224" s="1404"/>
      <c r="H224" s="1654"/>
      <c r="I224" s="1405"/>
      <c r="J224" s="1653"/>
      <c r="K224" s="1421"/>
      <c r="L224" s="1421"/>
      <c r="M224" s="1421"/>
      <c r="N224" s="2907"/>
      <c r="O224" s="2919"/>
      <c r="P224" s="2917"/>
      <c r="Q224" s="2917"/>
      <c r="R224" s="2917"/>
      <c r="S224" s="2851"/>
      <c r="T224" s="2851"/>
      <c r="U224" s="2917"/>
      <c r="V224" s="2345"/>
      <c r="Y224" s="84"/>
      <c r="Z224" s="84"/>
    </row>
    <row r="225" spans="1:26" ht="48" hidden="1" customHeight="1">
      <c r="A225" s="2926"/>
      <c r="B225" s="2927"/>
      <c r="C225" s="2923"/>
      <c r="D225" s="1418" t="s">
        <v>1076</v>
      </c>
      <c r="E225" s="1405">
        <f>E223</f>
        <v>7.9480000000000004</v>
      </c>
      <c r="F225" s="1405"/>
      <c r="G225" s="1405"/>
      <c r="H225" s="1652"/>
      <c r="I225" s="1405"/>
      <c r="J225" s="1653"/>
      <c r="K225" s="1421"/>
      <c r="L225" s="1421"/>
      <c r="M225" s="1421"/>
      <c r="N225" s="2907"/>
      <c r="O225" s="2920"/>
      <c r="P225" s="2918"/>
      <c r="Q225" s="2918"/>
      <c r="R225" s="2918"/>
      <c r="S225" s="2851"/>
      <c r="T225" s="2851"/>
      <c r="U225" s="2918"/>
      <c r="V225" s="2345"/>
      <c r="Y225" s="84"/>
      <c r="Z225" s="84"/>
    </row>
    <row r="226" spans="1:26" ht="23.25" hidden="1" customHeight="1">
      <c r="A226" s="1417"/>
      <c r="B226" s="957" t="s">
        <v>3742</v>
      </c>
      <c r="C226" s="1547"/>
      <c r="D226" s="1022"/>
      <c r="E226" s="1070"/>
      <c r="F226" s="1070"/>
      <c r="G226" s="1070"/>
      <c r="H226" s="1657"/>
      <c r="I226" s="1075"/>
      <c r="J226" s="1518">
        <v>4.9000000000000004</v>
      </c>
      <c r="K226" s="989">
        <v>3</v>
      </c>
      <c r="L226" s="989">
        <v>3</v>
      </c>
      <c r="M226" s="989">
        <v>3</v>
      </c>
      <c r="N226" s="2907"/>
      <c r="O226" s="1592"/>
      <c r="P226" s="1384"/>
      <c r="Q226" s="1384"/>
      <c r="R226" s="1384"/>
      <c r="S226" s="1004"/>
      <c r="T226" s="1004"/>
      <c r="U226" s="1384"/>
      <c r="V226" s="2345"/>
      <c r="Y226" s="84"/>
      <c r="Z226" s="84"/>
    </row>
    <row r="227" spans="1:26" ht="45.6" customHeight="1">
      <c r="A227" s="2739" t="s">
        <v>2685</v>
      </c>
      <c r="B227" s="2465" t="s">
        <v>2772</v>
      </c>
      <c r="C227" s="2392">
        <v>190230824</v>
      </c>
      <c r="D227" s="1035" t="s">
        <v>2928</v>
      </c>
      <c r="E227" s="1510">
        <v>44.2</v>
      </c>
      <c r="F227" s="1526">
        <f t="shared" ref="F227" si="108">H227/E227-1</f>
        <v>0.83167420814479609</v>
      </c>
      <c r="G227" s="1510"/>
      <c r="H227" s="1117">
        <v>80.959999999999994</v>
      </c>
      <c r="I227" s="1054">
        <f t="shared" ref="I227:I237" si="109">K227/H227-1</f>
        <v>-0.2558053359683794</v>
      </c>
      <c r="J227" s="1527"/>
      <c r="K227" s="1053">
        <v>60.25</v>
      </c>
      <c r="L227" s="1053"/>
      <c r="M227" s="1053"/>
      <c r="N227" s="2907"/>
      <c r="O227" s="2349" t="s">
        <v>2688</v>
      </c>
      <c r="P227" s="2343" t="s">
        <v>1529</v>
      </c>
      <c r="Q227" s="2343" t="s">
        <v>1487</v>
      </c>
      <c r="R227" s="2343">
        <v>60</v>
      </c>
      <c r="S227" s="2342">
        <v>55</v>
      </c>
      <c r="T227" s="2342">
        <v>55</v>
      </c>
      <c r="U227" s="2343" t="s">
        <v>3397</v>
      </c>
      <c r="V227" s="2345"/>
      <c r="Y227" s="84"/>
      <c r="Z227" s="84"/>
    </row>
    <row r="228" spans="1:26" ht="34.5" customHeight="1">
      <c r="A228" s="2739"/>
      <c r="B228" s="2465"/>
      <c r="C228" s="2392"/>
      <c r="D228" s="1035" t="s">
        <v>471</v>
      </c>
      <c r="E228" s="1510"/>
      <c r="F228" s="1526"/>
      <c r="G228" s="1510"/>
      <c r="H228" s="1117"/>
      <c r="I228" s="1054"/>
      <c r="J228" s="1527">
        <v>60.25</v>
      </c>
      <c r="K228" s="1535">
        <v>0</v>
      </c>
      <c r="L228" s="1053">
        <v>61.03</v>
      </c>
      <c r="M228" s="1053"/>
      <c r="N228" s="2907"/>
      <c r="O228" s="2363"/>
      <c r="P228" s="2345"/>
      <c r="Q228" s="2345"/>
      <c r="R228" s="2345"/>
      <c r="S228" s="2342"/>
      <c r="T228" s="2342"/>
      <c r="U228" s="2345"/>
      <c r="V228" s="2345"/>
      <c r="Y228" s="84"/>
      <c r="Z228" s="84"/>
    </row>
    <row r="229" spans="1:26" ht="33" customHeight="1">
      <c r="A229" s="2739"/>
      <c r="B229" s="2465"/>
      <c r="C229" s="2392"/>
      <c r="D229" s="1035" t="s">
        <v>246</v>
      </c>
      <c r="E229" s="1527"/>
      <c r="F229" s="1534"/>
      <c r="G229" s="1527"/>
      <c r="H229" s="1090">
        <v>25.2</v>
      </c>
      <c r="I229" s="1054">
        <f t="shared" si="109"/>
        <v>0.21428571428571441</v>
      </c>
      <c r="J229" s="1527">
        <v>30.6</v>
      </c>
      <c r="K229" s="1535">
        <v>30.6</v>
      </c>
      <c r="L229" s="1053">
        <v>31</v>
      </c>
      <c r="M229" s="1053">
        <v>31</v>
      </c>
      <c r="N229" s="2907"/>
      <c r="O229" s="2880"/>
      <c r="P229" s="2345"/>
      <c r="Q229" s="2345"/>
      <c r="R229" s="2345"/>
      <c r="S229" s="2342"/>
      <c r="T229" s="2342"/>
      <c r="U229" s="2345"/>
      <c r="V229" s="2345"/>
      <c r="Y229" s="84"/>
      <c r="Z229" s="84"/>
    </row>
    <row r="230" spans="1:26" ht="32.450000000000003" customHeight="1">
      <c r="A230" s="2739"/>
      <c r="B230" s="2465"/>
      <c r="C230" s="2392"/>
      <c r="D230" s="1035" t="s">
        <v>413</v>
      </c>
      <c r="E230" s="1527"/>
      <c r="F230" s="1534"/>
      <c r="G230" s="1527"/>
      <c r="H230" s="1090">
        <v>4.3899999999999997</v>
      </c>
      <c r="I230" s="1054">
        <f t="shared" si="109"/>
        <v>0.23006833712984065</v>
      </c>
      <c r="J230" s="1527">
        <v>5.4</v>
      </c>
      <c r="K230" s="1535">
        <v>5.4</v>
      </c>
      <c r="L230" s="1535">
        <v>5.5</v>
      </c>
      <c r="M230" s="1535">
        <v>5.5</v>
      </c>
      <c r="N230" s="2907"/>
      <c r="O230" s="2880"/>
      <c r="P230" s="2345"/>
      <c r="Q230" s="2345"/>
      <c r="R230" s="2345"/>
      <c r="S230" s="2342"/>
      <c r="T230" s="2342"/>
      <c r="U230" s="2345"/>
      <c r="V230" s="2345"/>
      <c r="W230" s="707"/>
      <c r="Y230" s="84"/>
      <c r="Z230" s="84"/>
    </row>
    <row r="231" spans="1:26" ht="32.450000000000003" customHeight="1">
      <c r="A231" s="2739"/>
      <c r="B231" s="2465"/>
      <c r="C231" s="2392"/>
      <c r="D231" s="1035" t="s">
        <v>1394</v>
      </c>
      <c r="E231" s="1527"/>
      <c r="F231" s="1534"/>
      <c r="G231" s="1527"/>
      <c r="H231" s="1090"/>
      <c r="I231" s="1601"/>
      <c r="J231" s="1602"/>
      <c r="K231" s="1658"/>
      <c r="L231" s="1658"/>
      <c r="M231" s="1535">
        <v>61.03</v>
      </c>
      <c r="N231" s="2907"/>
      <c r="O231" s="2880"/>
      <c r="P231" s="2345"/>
      <c r="Q231" s="2345"/>
      <c r="R231" s="2345"/>
      <c r="S231" s="2342"/>
      <c r="T231" s="2342"/>
      <c r="U231" s="2345"/>
      <c r="V231" s="2345"/>
      <c r="W231" s="707"/>
      <c r="Y231" s="84"/>
      <c r="Z231" s="84"/>
    </row>
    <row r="232" spans="1:26" ht="41.25" customHeight="1">
      <c r="A232" s="2739"/>
      <c r="B232" s="2465"/>
      <c r="C232" s="2392"/>
      <c r="D232" s="1056" t="s">
        <v>1076</v>
      </c>
      <c r="E232" s="1513">
        <f>E227</f>
        <v>44.2</v>
      </c>
      <c r="F232" s="1514">
        <f t="shared" ref="F232" si="110">H232/E232-1</f>
        <v>1.501131221719457</v>
      </c>
      <c r="G232" s="1513">
        <f t="shared" ref="G232" si="111">G227</f>
        <v>0</v>
      </c>
      <c r="H232" s="1091">
        <f>SUM(H227:H230)</f>
        <v>110.55</v>
      </c>
      <c r="I232" s="1530">
        <f t="shared" si="109"/>
        <v>-0.12935323383084574</v>
      </c>
      <c r="J232" s="1531">
        <f t="shared" ref="J232:L232" si="112">SUM(J227:J230)</f>
        <v>96.25</v>
      </c>
      <c r="K232" s="1091">
        <f t="shared" si="112"/>
        <v>96.25</v>
      </c>
      <c r="L232" s="1091">
        <f t="shared" si="112"/>
        <v>97.53</v>
      </c>
      <c r="M232" s="1059">
        <f>SUM(M227:M231)</f>
        <v>97.53</v>
      </c>
      <c r="N232" s="2907"/>
      <c r="O232" s="2401"/>
      <c r="P232" s="2344"/>
      <c r="Q232" s="2344"/>
      <c r="R232" s="2344"/>
      <c r="S232" s="2342"/>
      <c r="T232" s="2342"/>
      <c r="U232" s="2344"/>
      <c r="V232" s="2345"/>
      <c r="Y232" s="84"/>
      <c r="Z232" s="84"/>
    </row>
    <row r="233" spans="1:26" ht="45" customHeight="1">
      <c r="A233" s="2727" t="s">
        <v>3744</v>
      </c>
      <c r="B233" s="2924" t="s">
        <v>3745</v>
      </c>
      <c r="C233" s="2897" t="s">
        <v>1080</v>
      </c>
      <c r="D233" s="1659" t="s">
        <v>2928</v>
      </c>
      <c r="E233" s="1527"/>
      <c r="F233" s="1527"/>
      <c r="G233" s="1527">
        <v>53</v>
      </c>
      <c r="H233" s="1660">
        <v>53</v>
      </c>
      <c r="I233" s="1661">
        <f t="shared" si="109"/>
        <v>0.15496226415094339</v>
      </c>
      <c r="J233" s="1662">
        <f>SUM(J238,J242,J246,)</f>
        <v>0</v>
      </c>
      <c r="K233" s="1663">
        <f>SUM(K238,K242,K246)</f>
        <v>61.213000000000001</v>
      </c>
      <c r="L233" s="1663">
        <f t="shared" ref="L233:M233" si="113">SUM(L238,L242,L246)</f>
        <v>0</v>
      </c>
      <c r="M233" s="1663">
        <f t="shared" si="113"/>
        <v>0</v>
      </c>
      <c r="N233" s="2907"/>
      <c r="O233" s="2349" t="s">
        <v>3746</v>
      </c>
      <c r="P233" s="2343" t="s">
        <v>1530</v>
      </c>
      <c r="Q233" s="2343" t="s">
        <v>1815</v>
      </c>
      <c r="R233" s="2342">
        <v>0</v>
      </c>
      <c r="S233" s="2343">
        <v>0</v>
      </c>
      <c r="T233" s="2343" t="s">
        <v>434</v>
      </c>
      <c r="U233" s="2343" t="s">
        <v>1816</v>
      </c>
      <c r="V233" s="2345"/>
      <c r="Y233" s="84"/>
      <c r="Z233" s="84"/>
    </row>
    <row r="234" spans="1:26" ht="33.75" customHeight="1">
      <c r="A234" s="2727"/>
      <c r="B234" s="2924"/>
      <c r="C234" s="2897"/>
      <c r="D234" s="1659" t="s">
        <v>471</v>
      </c>
      <c r="E234" s="1527"/>
      <c r="F234" s="1527"/>
      <c r="G234" s="1527"/>
      <c r="H234" s="1660"/>
      <c r="I234" s="1661"/>
      <c r="J234" s="1662">
        <f>SUM(J239,J243,J247)</f>
        <v>91.596000000000004</v>
      </c>
      <c r="K234" s="1535">
        <v>0</v>
      </c>
      <c r="L234" s="1663"/>
      <c r="M234" s="1663">
        <v>6.42</v>
      </c>
      <c r="N234" s="2907"/>
      <c r="O234" s="2363"/>
      <c r="P234" s="2345"/>
      <c r="Q234" s="2345"/>
      <c r="R234" s="2342"/>
      <c r="S234" s="2345"/>
      <c r="T234" s="2345"/>
      <c r="U234" s="2345"/>
      <c r="V234" s="2345"/>
      <c r="Y234" s="84"/>
      <c r="Z234" s="84"/>
    </row>
    <row r="235" spans="1:26" ht="40.5" customHeight="1">
      <c r="A235" s="2727"/>
      <c r="B235" s="2924"/>
      <c r="C235" s="2897"/>
      <c r="D235" s="1659" t="s">
        <v>246</v>
      </c>
      <c r="E235" s="1527"/>
      <c r="F235" s="1527"/>
      <c r="G235" s="1527">
        <v>187</v>
      </c>
      <c r="H235" s="1660">
        <v>187</v>
      </c>
      <c r="I235" s="1661">
        <f t="shared" si="109"/>
        <v>0.63358288770053495</v>
      </c>
      <c r="J235" s="1662">
        <f>SUM(J240,J244,J248)</f>
        <v>496.10900000000004</v>
      </c>
      <c r="K235" s="1663">
        <f t="shared" ref="K235:M235" si="114">SUM(K240,K244,K248)</f>
        <v>305.48</v>
      </c>
      <c r="L235" s="1663">
        <f t="shared" si="114"/>
        <v>937.87699999999995</v>
      </c>
      <c r="M235" s="1663">
        <f t="shared" si="114"/>
        <v>532.21999999999991</v>
      </c>
      <c r="N235" s="2907"/>
      <c r="O235" s="2880"/>
      <c r="P235" s="2345"/>
      <c r="Q235" s="2345"/>
      <c r="R235" s="2342"/>
      <c r="S235" s="2345"/>
      <c r="T235" s="2345"/>
      <c r="U235" s="2345"/>
      <c r="V235" s="2345"/>
      <c r="Y235" s="84"/>
      <c r="Z235" s="84"/>
    </row>
    <row r="236" spans="1:26" ht="40.5" customHeight="1">
      <c r="A236" s="2727"/>
      <c r="B236" s="2924"/>
      <c r="C236" s="2897"/>
      <c r="D236" s="1659" t="s">
        <v>1394</v>
      </c>
      <c r="E236" s="1510"/>
      <c r="F236" s="1510"/>
      <c r="G236" s="1510"/>
      <c r="H236" s="1664"/>
      <c r="I236" s="1661"/>
      <c r="J236" s="1662"/>
      <c r="K236" s="1663"/>
      <c r="L236" s="1535">
        <v>187.934</v>
      </c>
      <c r="M236" s="1535">
        <v>81.625</v>
      </c>
      <c r="N236" s="2907"/>
      <c r="O236" s="2880"/>
      <c r="P236" s="2345"/>
      <c r="Q236" s="2344"/>
      <c r="R236" s="947"/>
      <c r="S236" s="2344"/>
      <c r="T236" s="2344"/>
      <c r="U236" s="2344"/>
      <c r="V236" s="2345"/>
      <c r="Y236" s="84"/>
      <c r="Z236" s="84"/>
    </row>
    <row r="237" spans="1:26" ht="76.5" customHeight="1">
      <c r="A237" s="2727"/>
      <c r="B237" s="2925"/>
      <c r="C237" s="2881"/>
      <c r="D237" s="1083" t="s">
        <v>1076</v>
      </c>
      <c r="E237" s="1665">
        <v>0</v>
      </c>
      <c r="F237" s="1665"/>
      <c r="G237" s="1665">
        <f>SUM(G233:G235)</f>
        <v>240</v>
      </c>
      <c r="H237" s="1666">
        <f t="shared" ref="H237" si="115">SUM(H233:H235)</f>
        <v>240</v>
      </c>
      <c r="I237" s="1060">
        <f t="shared" si="109"/>
        <v>0.52788750000000007</v>
      </c>
      <c r="J237" s="1513">
        <f>SUM(J233,J234,J235,)</f>
        <v>587.70500000000004</v>
      </c>
      <c r="K237" s="1560">
        <f t="shared" ref="K237" si="116">SUM(K233,K234,K235,)</f>
        <v>366.69300000000004</v>
      </c>
      <c r="L237" s="1560">
        <f>SUM(L233,L234,L235:L236,)</f>
        <v>1125.8109999999999</v>
      </c>
      <c r="M237" s="1560">
        <f>SUM(M233,M234,M235:M236,)</f>
        <v>620.26499999999987</v>
      </c>
      <c r="N237" s="2907"/>
      <c r="O237" s="2401"/>
      <c r="P237" s="2344"/>
      <c r="Q237" s="947" t="s">
        <v>1817</v>
      </c>
      <c r="R237" s="947" t="s">
        <v>434</v>
      </c>
      <c r="S237" s="947" t="s">
        <v>434</v>
      </c>
      <c r="T237" s="947" t="s">
        <v>434</v>
      </c>
      <c r="U237" s="947" t="s">
        <v>1767</v>
      </c>
      <c r="V237" s="2345"/>
      <c r="W237" s="84" t="s">
        <v>2773</v>
      </c>
      <c r="Y237" s="84"/>
      <c r="Z237" s="84"/>
    </row>
    <row r="238" spans="1:26" ht="15" hidden="1" customHeight="1">
      <c r="A238" s="2961" t="s">
        <v>3401</v>
      </c>
      <c r="B238" s="2961" t="s">
        <v>1450</v>
      </c>
      <c r="C238" s="1667" t="s">
        <v>2928</v>
      </c>
      <c r="D238" s="1668"/>
      <c r="E238" s="1620"/>
      <c r="F238" s="1620"/>
      <c r="G238" s="1620"/>
      <c r="H238" s="1669"/>
      <c r="I238" s="1614"/>
      <c r="J238" s="1670"/>
      <c r="K238" s="1614">
        <v>42.256</v>
      </c>
      <c r="L238" s="1614"/>
      <c r="M238" s="1614"/>
      <c r="N238" s="2907"/>
      <c r="O238" s="1671"/>
      <c r="P238" s="1615"/>
      <c r="Q238" s="1615"/>
      <c r="R238" s="1615"/>
      <c r="S238" s="1615"/>
      <c r="T238" s="1615"/>
      <c r="U238" s="1615"/>
      <c r="V238" s="2345"/>
      <c r="Y238" s="84"/>
      <c r="Z238" s="84"/>
    </row>
    <row r="239" spans="1:26" ht="15" hidden="1" customHeight="1">
      <c r="A239" s="2962"/>
      <c r="B239" s="2964"/>
      <c r="C239" s="1667" t="s">
        <v>471</v>
      </c>
      <c r="D239" s="1668"/>
      <c r="E239" s="1620"/>
      <c r="F239" s="1620"/>
      <c r="G239" s="1620"/>
      <c r="H239" s="1669"/>
      <c r="I239" s="1614"/>
      <c r="J239" s="1613">
        <v>42.331000000000003</v>
      </c>
      <c r="K239" s="1612">
        <v>0</v>
      </c>
      <c r="L239" s="1612">
        <v>103.76900000000001</v>
      </c>
      <c r="M239" s="1612">
        <v>18.641999999999999</v>
      </c>
      <c r="N239" s="2907"/>
      <c r="O239" s="1671"/>
      <c r="P239" s="1615"/>
      <c r="Q239" s="1615"/>
      <c r="R239" s="1615"/>
      <c r="S239" s="1615"/>
      <c r="T239" s="1615"/>
      <c r="U239" s="1615"/>
      <c r="V239" s="2345"/>
      <c r="Y239" s="84"/>
      <c r="Z239" s="84"/>
    </row>
    <row r="240" spans="1:26" ht="13.5" hidden="1" customHeight="1">
      <c r="A240" s="2962"/>
      <c r="B240" s="2964"/>
      <c r="C240" s="1667" t="s">
        <v>246</v>
      </c>
      <c r="D240" s="1668"/>
      <c r="E240" s="1620"/>
      <c r="F240" s="1620"/>
      <c r="G240" s="1620"/>
      <c r="H240" s="1669"/>
      <c r="I240" s="1614"/>
      <c r="J240" s="1613">
        <v>224.429</v>
      </c>
      <c r="K240" s="1612">
        <v>210.876</v>
      </c>
      <c r="L240" s="1612">
        <v>517.85599999999999</v>
      </c>
      <c r="M240" s="1612">
        <v>158.9</v>
      </c>
      <c r="N240" s="2907"/>
      <c r="O240" s="1671"/>
      <c r="P240" s="1615"/>
      <c r="Q240" s="1615"/>
      <c r="R240" s="1615"/>
      <c r="S240" s="1615"/>
      <c r="T240" s="1615"/>
      <c r="U240" s="1615"/>
      <c r="V240" s="2345"/>
      <c r="Y240" s="84"/>
      <c r="Z240" s="84"/>
    </row>
    <row r="241" spans="1:26" ht="19.5" hidden="1" customHeight="1">
      <c r="A241" s="2963"/>
      <c r="B241" s="2965"/>
      <c r="C241" s="1668" t="s">
        <v>1076</v>
      </c>
      <c r="D241" s="1668"/>
      <c r="E241" s="1620"/>
      <c r="F241" s="1620"/>
      <c r="G241" s="1620"/>
      <c r="H241" s="1669"/>
      <c r="I241" s="1614"/>
      <c r="J241" s="1613">
        <f>SUM(J238,J239,J240)</f>
        <v>266.76</v>
      </c>
      <c r="K241" s="1612">
        <f t="shared" ref="K241:M241" si="117">SUM(K238,K239,K240)</f>
        <v>253.13200000000001</v>
      </c>
      <c r="L241" s="1612">
        <f t="shared" si="117"/>
        <v>621.625</v>
      </c>
      <c r="M241" s="1612">
        <f t="shared" si="117"/>
        <v>177.542</v>
      </c>
      <c r="N241" s="2907"/>
      <c r="O241" s="1671"/>
      <c r="P241" s="1615"/>
      <c r="Q241" s="1615"/>
      <c r="R241" s="1615"/>
      <c r="S241" s="1615"/>
      <c r="T241" s="1615"/>
      <c r="U241" s="1615"/>
      <c r="V241" s="2345"/>
      <c r="Y241" s="84"/>
      <c r="Z241" s="84"/>
    </row>
    <row r="242" spans="1:26" ht="16.5" hidden="1" customHeight="1">
      <c r="A242" s="2966" t="s">
        <v>3401</v>
      </c>
      <c r="B242" s="2966" t="s">
        <v>1447</v>
      </c>
      <c r="C242" s="1672" t="s">
        <v>2928</v>
      </c>
      <c r="D242" s="1431"/>
      <c r="E242" s="1147"/>
      <c r="F242" s="1147"/>
      <c r="G242" s="1147"/>
      <c r="H242" s="1657"/>
      <c r="I242" s="1075"/>
      <c r="J242" s="1518"/>
      <c r="K242" s="989">
        <v>3.8450000000000002</v>
      </c>
      <c r="L242" s="989"/>
      <c r="M242" s="989"/>
      <c r="N242" s="2907"/>
      <c r="O242" s="1001"/>
      <c r="P242" s="1004"/>
      <c r="Q242" s="1004"/>
      <c r="R242" s="1004"/>
      <c r="S242" s="1004"/>
      <c r="T242" s="1004"/>
      <c r="U242" s="1004"/>
      <c r="V242" s="2345"/>
      <c r="Y242" s="84"/>
      <c r="Z242" s="84"/>
    </row>
    <row r="243" spans="1:26" ht="17.25" hidden="1" customHeight="1">
      <c r="A243" s="2967"/>
      <c r="B243" s="2968"/>
      <c r="C243" s="1672" t="s">
        <v>471</v>
      </c>
      <c r="D243" s="1431"/>
      <c r="E243" s="1147"/>
      <c r="F243" s="1147"/>
      <c r="G243" s="1147"/>
      <c r="H243" s="1657"/>
      <c r="I243" s="1075"/>
      <c r="J243" s="1518">
        <v>34.152999999999999</v>
      </c>
      <c r="K243" s="989">
        <v>0</v>
      </c>
      <c r="L243" s="989">
        <v>82.831999999999994</v>
      </c>
      <c r="M243" s="989">
        <v>69.41</v>
      </c>
      <c r="N243" s="2907"/>
      <c r="O243" s="1001"/>
      <c r="P243" s="1004"/>
      <c r="Q243" s="1004"/>
      <c r="R243" s="1004"/>
      <c r="S243" s="1004"/>
      <c r="T243" s="1004"/>
      <c r="U243" s="1004"/>
      <c r="V243" s="2345"/>
      <c r="Y243" s="84"/>
      <c r="Z243" s="84"/>
    </row>
    <row r="244" spans="1:26" ht="15" hidden="1" customHeight="1">
      <c r="A244" s="2967"/>
      <c r="B244" s="2968"/>
      <c r="C244" s="1672" t="s">
        <v>246</v>
      </c>
      <c r="D244" s="1431"/>
      <c r="E244" s="1147"/>
      <c r="F244" s="1147"/>
      <c r="G244" s="1147"/>
      <c r="H244" s="1657"/>
      <c r="I244" s="1075"/>
      <c r="J244" s="1518">
        <v>170.44</v>
      </c>
      <c r="K244" s="989">
        <v>19.187999999999999</v>
      </c>
      <c r="L244" s="989">
        <v>413.37099999999998</v>
      </c>
      <c r="M244" s="989">
        <v>346.38499999999999</v>
      </c>
      <c r="N244" s="2907"/>
      <c r="O244" s="1001"/>
      <c r="P244" s="1004"/>
      <c r="Q244" s="1004"/>
      <c r="R244" s="1004"/>
      <c r="S244" s="1004"/>
      <c r="T244" s="1004"/>
      <c r="U244" s="1004"/>
      <c r="V244" s="2345"/>
      <c r="Y244" s="84"/>
      <c r="Z244" s="84"/>
    </row>
    <row r="245" spans="1:26" ht="18.75" hidden="1" customHeight="1">
      <c r="A245" s="2787"/>
      <c r="B245" s="2969"/>
      <c r="C245" s="1431" t="s">
        <v>1076</v>
      </c>
      <c r="D245" s="1431"/>
      <c r="E245" s="1147"/>
      <c r="F245" s="1147"/>
      <c r="G245" s="1147"/>
      <c r="H245" s="1657"/>
      <c r="I245" s="1075"/>
      <c r="J245" s="1518">
        <f>SUM(J242,J243,J244,)</f>
        <v>204.59299999999999</v>
      </c>
      <c r="K245" s="989">
        <f t="shared" ref="K245:M245" si="118">SUM(K242,K243,K244,)</f>
        <v>23.032999999999998</v>
      </c>
      <c r="L245" s="989">
        <f t="shared" si="118"/>
        <v>496.20299999999997</v>
      </c>
      <c r="M245" s="989">
        <f t="shared" si="118"/>
        <v>415.79499999999996</v>
      </c>
      <c r="N245" s="2907"/>
      <c r="O245" s="1001"/>
      <c r="P245" s="1004"/>
      <c r="Q245" s="1004"/>
      <c r="R245" s="1004"/>
      <c r="S245" s="1004"/>
      <c r="T245" s="1004"/>
      <c r="U245" s="1004"/>
      <c r="V245" s="2345"/>
      <c r="Y245" s="84"/>
      <c r="Z245" s="84"/>
    </row>
    <row r="246" spans="1:26" ht="16.5" hidden="1" customHeight="1">
      <c r="A246" s="2970" t="s">
        <v>3399</v>
      </c>
      <c r="B246" s="2973" t="s">
        <v>2703</v>
      </c>
      <c r="C246" s="1673" t="s">
        <v>2928</v>
      </c>
      <c r="D246" s="1674"/>
      <c r="E246" s="1675"/>
      <c r="F246" s="1675"/>
      <c r="G246" s="1675"/>
      <c r="H246" s="1676"/>
      <c r="I246" s="1677"/>
      <c r="J246" s="1678"/>
      <c r="K246" s="1679">
        <v>15.112</v>
      </c>
      <c r="L246" s="1679"/>
      <c r="M246" s="1679"/>
      <c r="N246" s="2907"/>
      <c r="O246" s="1680"/>
      <c r="P246" s="1681"/>
      <c r="Q246" s="1681"/>
      <c r="R246" s="1681"/>
      <c r="S246" s="1681"/>
      <c r="T246" s="1681"/>
      <c r="U246" s="1681"/>
      <c r="V246" s="2345"/>
      <c r="Y246" s="84"/>
      <c r="Z246" s="84"/>
    </row>
    <row r="247" spans="1:26" ht="14.25" hidden="1" customHeight="1">
      <c r="A247" s="2971"/>
      <c r="B247" s="2974"/>
      <c r="C247" s="1673" t="s">
        <v>471</v>
      </c>
      <c r="D247" s="1674"/>
      <c r="E247" s="1675"/>
      <c r="F247" s="1675"/>
      <c r="G247" s="1675"/>
      <c r="H247" s="1676"/>
      <c r="I247" s="1677"/>
      <c r="J247" s="1678">
        <v>15.112</v>
      </c>
      <c r="K247" s="1682">
        <v>0</v>
      </c>
      <c r="L247" s="1679">
        <v>1.333</v>
      </c>
      <c r="M247" s="1679"/>
      <c r="N247" s="2907"/>
      <c r="O247" s="1680"/>
      <c r="P247" s="1681"/>
      <c r="Q247" s="1681"/>
      <c r="R247" s="1681"/>
      <c r="S247" s="1681"/>
      <c r="T247" s="1681"/>
      <c r="U247" s="1681"/>
      <c r="V247" s="2345"/>
      <c r="Y247" s="84"/>
      <c r="Z247" s="84"/>
    </row>
    <row r="248" spans="1:26" ht="16.5" hidden="1" customHeight="1">
      <c r="A248" s="2971"/>
      <c r="B248" s="2974"/>
      <c r="C248" s="1673" t="s">
        <v>246</v>
      </c>
      <c r="D248" s="1674"/>
      <c r="E248" s="1675"/>
      <c r="F248" s="1675"/>
      <c r="G248" s="1675"/>
      <c r="H248" s="1676"/>
      <c r="I248" s="1677"/>
      <c r="J248" s="1678">
        <v>101.24</v>
      </c>
      <c r="K248" s="1682">
        <v>75.415999999999997</v>
      </c>
      <c r="L248" s="1679">
        <v>6.65</v>
      </c>
      <c r="M248" s="1679">
        <v>26.934999999999999</v>
      </c>
      <c r="N248" s="2907"/>
      <c r="O248" s="1680"/>
      <c r="P248" s="1681"/>
      <c r="Q248" s="1681"/>
      <c r="R248" s="1681"/>
      <c r="S248" s="1681"/>
      <c r="T248" s="1681"/>
      <c r="U248" s="1681"/>
      <c r="V248" s="2345"/>
      <c r="Y248" s="84"/>
      <c r="Z248" s="84"/>
    </row>
    <row r="249" spans="1:26" ht="15" hidden="1" customHeight="1">
      <c r="A249" s="2972"/>
      <c r="B249" s="2975"/>
      <c r="C249" s="1674" t="s">
        <v>1076</v>
      </c>
      <c r="D249" s="1674"/>
      <c r="E249" s="1675"/>
      <c r="F249" s="1675"/>
      <c r="G249" s="1675"/>
      <c r="H249" s="1676"/>
      <c r="I249" s="1677"/>
      <c r="J249" s="1678">
        <f>SUM(J246,J247,J248)</f>
        <v>116.35199999999999</v>
      </c>
      <c r="K249" s="1679">
        <f t="shared" ref="K249:M249" si="119">SUM(K246,K247,K248)</f>
        <v>90.527999999999992</v>
      </c>
      <c r="L249" s="1679">
        <f t="shared" si="119"/>
        <v>7.9830000000000005</v>
      </c>
      <c r="M249" s="1679">
        <f t="shared" si="119"/>
        <v>26.934999999999999</v>
      </c>
      <c r="N249" s="2907"/>
      <c r="O249" s="1680"/>
      <c r="P249" s="1681"/>
      <c r="Q249" s="1681"/>
      <c r="R249" s="1681"/>
      <c r="S249" s="1681"/>
      <c r="T249" s="1681"/>
      <c r="U249" s="1681"/>
      <c r="V249" s="2345"/>
      <c r="Y249" s="84"/>
      <c r="Z249" s="84"/>
    </row>
    <row r="250" spans="1:26" ht="33" customHeight="1">
      <c r="A250" s="2727" t="s">
        <v>2686</v>
      </c>
      <c r="B250" s="2899" t="s">
        <v>4156</v>
      </c>
      <c r="C250" s="2881" t="s">
        <v>3275</v>
      </c>
      <c r="D250" s="1082" t="s">
        <v>471</v>
      </c>
      <c r="E250" s="1527"/>
      <c r="F250" s="1527"/>
      <c r="G250" s="1527"/>
      <c r="H250" s="1090"/>
      <c r="I250" s="1053"/>
      <c r="J250" s="1527">
        <f>SUM(J256,J260)</f>
        <v>86.216999999999999</v>
      </c>
      <c r="K250" s="1535">
        <f t="shared" ref="K250" si="120">SUM(K256,K260)</f>
        <v>0</v>
      </c>
      <c r="L250" s="1527"/>
      <c r="M250" s="1535"/>
      <c r="N250" s="2907"/>
      <c r="O250" s="2349" t="s">
        <v>3747</v>
      </c>
      <c r="P250" s="2343" t="s">
        <v>1531</v>
      </c>
      <c r="Q250" s="2343" t="s">
        <v>2690</v>
      </c>
      <c r="R250" s="2343" t="s">
        <v>434</v>
      </c>
      <c r="S250" s="2343" t="s">
        <v>434</v>
      </c>
      <c r="T250" s="2343" t="s">
        <v>434</v>
      </c>
      <c r="U250" s="2343" t="s">
        <v>4</v>
      </c>
      <c r="V250" s="2345"/>
      <c r="Y250" s="84"/>
      <c r="Z250" s="84"/>
    </row>
    <row r="251" spans="1:26" ht="34.5" customHeight="1">
      <c r="A251" s="2727"/>
      <c r="B251" s="2899"/>
      <c r="C251" s="2881"/>
      <c r="D251" s="1659" t="s">
        <v>2928</v>
      </c>
      <c r="E251" s="1579"/>
      <c r="F251" s="1579"/>
      <c r="G251" s="1579"/>
      <c r="H251" s="1118"/>
      <c r="I251" s="1053"/>
      <c r="J251" s="1527">
        <f>SUM(J255,J259)</f>
        <v>0</v>
      </c>
      <c r="K251" s="1535">
        <v>27.084</v>
      </c>
      <c r="L251" s="1535">
        <f t="shared" ref="L251:M251" si="121">SUM(L255,L259)</f>
        <v>0</v>
      </c>
      <c r="M251" s="1535">
        <f t="shared" si="121"/>
        <v>0</v>
      </c>
      <c r="N251" s="2907"/>
      <c r="O251" s="2363"/>
      <c r="P251" s="2345"/>
      <c r="Q251" s="2345"/>
      <c r="R251" s="2345"/>
      <c r="S251" s="2345"/>
      <c r="T251" s="2345"/>
      <c r="U251" s="2345"/>
      <c r="V251" s="2345"/>
      <c r="Y251" s="84"/>
      <c r="Z251" s="84"/>
    </row>
    <row r="252" spans="1:26" ht="37.5" customHeight="1">
      <c r="A252" s="2727"/>
      <c r="B252" s="2899"/>
      <c r="C252" s="2881"/>
      <c r="D252" s="1387" t="s">
        <v>246</v>
      </c>
      <c r="E252" s="1579"/>
      <c r="F252" s="1579"/>
      <c r="G252" s="1579"/>
      <c r="H252" s="1118"/>
      <c r="I252" s="1053"/>
      <c r="J252" s="1527">
        <f>SUM(J257,J261)</f>
        <v>488.56400000000002</v>
      </c>
      <c r="K252" s="1535">
        <f t="shared" ref="K252" si="122">SUM(K257,K261)</f>
        <v>464.75800000000004</v>
      </c>
      <c r="L252" s="1535">
        <v>161.589</v>
      </c>
      <c r="M252" s="1535">
        <v>42.746000000000002</v>
      </c>
      <c r="N252" s="2907"/>
      <c r="O252" s="2880"/>
      <c r="P252" s="2345"/>
      <c r="Q252" s="2345"/>
      <c r="R252" s="2344"/>
      <c r="S252" s="2345"/>
      <c r="T252" s="2345"/>
      <c r="U252" s="2345"/>
      <c r="V252" s="2345"/>
      <c r="W252" s="84" t="s">
        <v>2774</v>
      </c>
      <c r="Y252" s="84"/>
      <c r="Z252" s="84"/>
    </row>
    <row r="253" spans="1:26" ht="37.5" customHeight="1">
      <c r="A253" s="2727"/>
      <c r="B253" s="2899"/>
      <c r="C253" s="2950"/>
      <c r="D253" s="1035" t="s">
        <v>1394</v>
      </c>
      <c r="E253" s="1162"/>
      <c r="F253" s="1162"/>
      <c r="G253" s="1162"/>
      <c r="H253" s="1118"/>
      <c r="I253" s="1053"/>
      <c r="J253" s="1053"/>
      <c r="K253" s="1053"/>
      <c r="L253" s="1053">
        <v>28.515999999999998</v>
      </c>
      <c r="M253" s="1053">
        <v>7.55</v>
      </c>
      <c r="N253" s="2907"/>
      <c r="O253" s="2880"/>
      <c r="P253" s="2345"/>
      <c r="Q253" s="2344"/>
      <c r="R253" s="950"/>
      <c r="S253" s="2344"/>
      <c r="T253" s="2344"/>
      <c r="U253" s="2344"/>
      <c r="V253" s="2345"/>
      <c r="Y253" s="84"/>
      <c r="Z253" s="84"/>
    </row>
    <row r="254" spans="1:26" ht="56.25" customHeight="1">
      <c r="A254" s="2727"/>
      <c r="B254" s="2899"/>
      <c r="C254" s="2950"/>
      <c r="D254" s="1056" t="s">
        <v>1076</v>
      </c>
      <c r="E254" s="1513">
        <f>E250</f>
        <v>0</v>
      </c>
      <c r="F254" s="1513"/>
      <c r="G254" s="1513"/>
      <c r="H254" s="1091"/>
      <c r="I254" s="1059"/>
      <c r="J254" s="1513">
        <f>SUM(J250,J251,J252)</f>
        <v>574.78100000000006</v>
      </c>
      <c r="K254" s="1560">
        <f t="shared" ref="K254:M254" si="123">SUM(K250,K251,K252)</f>
        <v>491.84200000000004</v>
      </c>
      <c r="L254" s="1560">
        <f t="shared" si="123"/>
        <v>161.589</v>
      </c>
      <c r="M254" s="1560">
        <f t="shared" si="123"/>
        <v>42.746000000000002</v>
      </c>
      <c r="N254" s="2907"/>
      <c r="O254" s="2401"/>
      <c r="P254" s="2344"/>
      <c r="Q254" s="947" t="s">
        <v>2691</v>
      </c>
      <c r="R254" s="947" t="s">
        <v>434</v>
      </c>
      <c r="S254" s="947" t="s">
        <v>434</v>
      </c>
      <c r="T254" s="947" t="s">
        <v>434</v>
      </c>
      <c r="U254" s="947" t="s">
        <v>2474</v>
      </c>
      <c r="V254" s="2345"/>
      <c r="Y254" s="84"/>
      <c r="Z254" s="84"/>
    </row>
    <row r="255" spans="1:26" ht="28.5" hidden="1" customHeight="1">
      <c r="A255" s="2743" t="s">
        <v>3402</v>
      </c>
      <c r="B255" s="2601" t="s">
        <v>2703</v>
      </c>
      <c r="C255" s="1547"/>
      <c r="D255" s="990" t="s">
        <v>2928</v>
      </c>
      <c r="E255" s="1120"/>
      <c r="F255" s="1120"/>
      <c r="G255" s="1120"/>
      <c r="H255" s="1075"/>
      <c r="I255" s="1075"/>
      <c r="J255" s="1524"/>
      <c r="K255" s="1120"/>
      <c r="L255" s="1075"/>
      <c r="M255" s="1075"/>
      <c r="N255" s="2907"/>
      <c r="O255" s="989"/>
      <c r="P255" s="1011"/>
      <c r="Q255" s="1011"/>
      <c r="R255" s="1011"/>
      <c r="S255" s="1011"/>
      <c r="T255" s="1011"/>
      <c r="U255" s="1011"/>
      <c r="V255" s="2345"/>
      <c r="Y255" s="84"/>
      <c r="Z255" s="84"/>
    </row>
    <row r="256" spans="1:26" ht="23.25" hidden="1" customHeight="1">
      <c r="A256" s="2734"/>
      <c r="B256" s="2602"/>
      <c r="C256" s="1547"/>
      <c r="D256" s="990" t="s">
        <v>471</v>
      </c>
      <c r="E256" s="1120"/>
      <c r="F256" s="1120"/>
      <c r="G256" s="1120"/>
      <c r="H256" s="1075"/>
      <c r="I256" s="1075"/>
      <c r="J256" s="1518">
        <v>0.59299999999999997</v>
      </c>
      <c r="K256" s="989">
        <v>0</v>
      </c>
      <c r="L256" s="989">
        <v>0.90100000000000002</v>
      </c>
      <c r="M256" s="989">
        <v>0.375</v>
      </c>
      <c r="N256" s="2907"/>
      <c r="O256" s="989"/>
      <c r="P256" s="1011"/>
      <c r="Q256" s="1011"/>
      <c r="R256" s="1011"/>
      <c r="S256" s="1011"/>
      <c r="T256" s="1011"/>
      <c r="U256" s="1011"/>
      <c r="V256" s="2345"/>
      <c r="Y256" s="84"/>
      <c r="Z256" s="84"/>
    </row>
    <row r="257" spans="1:26" ht="23.25" hidden="1" customHeight="1">
      <c r="A257" s="2734"/>
      <c r="B257" s="2602"/>
      <c r="C257" s="1547"/>
      <c r="D257" s="990" t="s">
        <v>246</v>
      </c>
      <c r="E257" s="1120"/>
      <c r="F257" s="1120"/>
      <c r="G257" s="1120"/>
      <c r="H257" s="1075"/>
      <c r="I257" s="1075"/>
      <c r="J257" s="1518">
        <v>3.36</v>
      </c>
      <c r="K257" s="989">
        <v>284.19900000000001</v>
      </c>
      <c r="L257" s="989">
        <v>5.1059999999999999</v>
      </c>
      <c r="M257" s="989">
        <v>2.12</v>
      </c>
      <c r="N257" s="2907"/>
      <c r="O257" s="989"/>
      <c r="P257" s="1011"/>
      <c r="Q257" s="1011"/>
      <c r="R257" s="1011"/>
      <c r="S257" s="1011"/>
      <c r="T257" s="1011"/>
      <c r="U257" s="1011"/>
      <c r="V257" s="2345"/>
      <c r="Y257" s="84"/>
      <c r="Z257" s="84"/>
    </row>
    <row r="258" spans="1:26" ht="27.75" hidden="1" customHeight="1">
      <c r="A258" s="2735"/>
      <c r="B258" s="2603"/>
      <c r="C258" s="1547"/>
      <c r="D258" s="1022" t="s">
        <v>1076</v>
      </c>
      <c r="E258" s="1120"/>
      <c r="F258" s="1120"/>
      <c r="G258" s="1120"/>
      <c r="H258" s="1075"/>
      <c r="I258" s="1075"/>
      <c r="J258" s="1524">
        <f>SUM(J255,J256,J257)</f>
        <v>3.9529999999999998</v>
      </c>
      <c r="K258" s="1075">
        <f t="shared" ref="K258:M258" si="124">SUM(K255,K256,K257)</f>
        <v>284.19900000000001</v>
      </c>
      <c r="L258" s="1075">
        <f t="shared" si="124"/>
        <v>6.0069999999999997</v>
      </c>
      <c r="M258" s="1075">
        <f t="shared" si="124"/>
        <v>2.4950000000000001</v>
      </c>
      <c r="N258" s="2907"/>
      <c r="O258" s="989"/>
      <c r="P258" s="1011"/>
      <c r="Q258" s="1011"/>
      <c r="R258" s="1011"/>
      <c r="S258" s="1011"/>
      <c r="T258" s="1011"/>
      <c r="U258" s="1011"/>
      <c r="V258" s="2345"/>
      <c r="Y258" s="84"/>
      <c r="Z258" s="84"/>
    </row>
    <row r="259" spans="1:26" ht="23.25" hidden="1" customHeight="1">
      <c r="A259" s="2951" t="s">
        <v>3401</v>
      </c>
      <c r="B259" s="2954" t="s">
        <v>1450</v>
      </c>
      <c r="C259" s="1642"/>
      <c r="D259" s="1643" t="s">
        <v>2928</v>
      </c>
      <c r="E259" s="1644"/>
      <c r="F259" s="1644"/>
      <c r="G259" s="1644"/>
      <c r="H259" s="1645"/>
      <c r="I259" s="1645"/>
      <c r="J259" s="1646"/>
      <c r="K259" s="1645">
        <v>27.084</v>
      </c>
      <c r="L259" s="1645"/>
      <c r="M259" s="1645"/>
      <c r="N259" s="2907"/>
      <c r="O259" s="1647"/>
      <c r="P259" s="1641"/>
      <c r="Q259" s="1641"/>
      <c r="R259" s="1641"/>
      <c r="S259" s="1641"/>
      <c r="T259" s="1641"/>
      <c r="U259" s="1641"/>
      <c r="V259" s="2345"/>
      <c r="Y259" s="84"/>
      <c r="Z259" s="84"/>
    </row>
    <row r="260" spans="1:26" ht="24.75" hidden="1" customHeight="1">
      <c r="A260" s="2952"/>
      <c r="B260" s="2955"/>
      <c r="C260" s="1642"/>
      <c r="D260" s="1643" t="s">
        <v>471</v>
      </c>
      <c r="E260" s="1644"/>
      <c r="F260" s="1644"/>
      <c r="G260" s="1644"/>
      <c r="H260" s="1645"/>
      <c r="I260" s="1645"/>
      <c r="J260" s="1648">
        <v>85.623999999999995</v>
      </c>
      <c r="K260" s="1647">
        <v>0</v>
      </c>
      <c r="L260" s="1647">
        <v>79.369</v>
      </c>
      <c r="M260" s="1647">
        <v>18.885000000000002</v>
      </c>
      <c r="N260" s="2907"/>
      <c r="O260" s="1647"/>
      <c r="P260" s="1641"/>
      <c r="Q260" s="1641"/>
      <c r="R260" s="1641"/>
      <c r="S260" s="1641"/>
      <c r="T260" s="1641"/>
      <c r="U260" s="1641"/>
      <c r="V260" s="2345"/>
      <c r="Y260" s="84"/>
      <c r="Z260" s="84"/>
    </row>
    <row r="261" spans="1:26" ht="27" hidden="1" customHeight="1">
      <c r="A261" s="2952"/>
      <c r="B261" s="2955"/>
      <c r="C261" s="1642"/>
      <c r="D261" s="1643" t="s">
        <v>246</v>
      </c>
      <c r="E261" s="1644"/>
      <c r="F261" s="1644"/>
      <c r="G261" s="1644"/>
      <c r="H261" s="1645"/>
      <c r="I261" s="1645"/>
      <c r="J261" s="1648">
        <v>485.20400000000001</v>
      </c>
      <c r="K261" s="1647">
        <v>180.559</v>
      </c>
      <c r="L261" s="1647">
        <v>449.75599999999997</v>
      </c>
      <c r="M261" s="1647">
        <v>107.012</v>
      </c>
      <c r="N261" s="2907"/>
      <c r="O261" s="1647"/>
      <c r="P261" s="1641"/>
      <c r="Q261" s="1641"/>
      <c r="R261" s="1641"/>
      <c r="S261" s="1641"/>
      <c r="T261" s="1641"/>
      <c r="U261" s="1641"/>
      <c r="V261" s="2345"/>
      <c r="Y261" s="84"/>
      <c r="Z261" s="84"/>
    </row>
    <row r="262" spans="1:26" ht="30" hidden="1" customHeight="1">
      <c r="A262" s="2953"/>
      <c r="B262" s="2956"/>
      <c r="C262" s="1642"/>
      <c r="D262" s="1649" t="s">
        <v>1076</v>
      </c>
      <c r="E262" s="1644"/>
      <c r="F262" s="1644"/>
      <c r="G262" s="1644"/>
      <c r="H262" s="1645"/>
      <c r="I262" s="1645"/>
      <c r="J262" s="1646">
        <f>SUM(J259,J260,J261)</f>
        <v>570.82799999999997</v>
      </c>
      <c r="K262" s="1645">
        <f t="shared" ref="K262:M262" si="125">SUM(K259,K260,K261)</f>
        <v>207.643</v>
      </c>
      <c r="L262" s="1645">
        <f t="shared" si="125"/>
        <v>529.125</v>
      </c>
      <c r="M262" s="1645">
        <f t="shared" si="125"/>
        <v>125.89700000000001</v>
      </c>
      <c r="N262" s="2907"/>
      <c r="O262" s="1647"/>
      <c r="P262" s="1641"/>
      <c r="Q262" s="1641"/>
      <c r="R262" s="1641"/>
      <c r="S262" s="1641"/>
      <c r="T262" s="1641"/>
      <c r="U262" s="1641"/>
      <c r="V262" s="2345"/>
      <c r="Y262" s="84"/>
      <c r="Z262" s="84"/>
    </row>
    <row r="263" spans="1:26" ht="36" customHeight="1">
      <c r="A263" s="2727" t="s">
        <v>2687</v>
      </c>
      <c r="B263" s="2575" t="s">
        <v>2980</v>
      </c>
      <c r="C263" s="2881" t="s">
        <v>1080</v>
      </c>
      <c r="D263" s="1098" t="s">
        <v>2928</v>
      </c>
      <c r="E263" s="1510"/>
      <c r="F263" s="1510"/>
      <c r="G263" s="1510"/>
      <c r="H263" s="1117">
        <v>37.9</v>
      </c>
      <c r="I263" s="1054">
        <f t="shared" ref="I263:I268" si="126">K263/H263-1</f>
        <v>0.25329815303430081</v>
      </c>
      <c r="J263" s="1527">
        <v>0</v>
      </c>
      <c r="K263" s="1053">
        <f>K269</f>
        <v>47.5</v>
      </c>
      <c r="L263" s="1053">
        <v>0</v>
      </c>
      <c r="M263" s="1053">
        <v>0</v>
      </c>
      <c r="N263" s="2907"/>
      <c r="O263" s="2349" t="s">
        <v>4015</v>
      </c>
      <c r="P263" s="2343" t="s">
        <v>1531</v>
      </c>
      <c r="Q263" s="2343" t="s">
        <v>3748</v>
      </c>
      <c r="R263" s="2343" t="s">
        <v>324</v>
      </c>
      <c r="S263" s="2342" t="s">
        <v>3688</v>
      </c>
      <c r="T263" s="2342" t="s">
        <v>3688</v>
      </c>
      <c r="U263" s="2343" t="s">
        <v>3688</v>
      </c>
      <c r="V263" s="2345"/>
      <c r="Y263" s="84"/>
      <c r="Z263" s="84"/>
    </row>
    <row r="264" spans="1:26" ht="36" customHeight="1">
      <c r="A264" s="2727"/>
      <c r="B264" s="2575"/>
      <c r="C264" s="2881"/>
      <c r="D264" s="1098" t="s">
        <v>471</v>
      </c>
      <c r="E264" s="1510"/>
      <c r="F264" s="1510"/>
      <c r="G264" s="1510"/>
      <c r="H264" s="1117"/>
      <c r="I264" s="1054"/>
      <c r="J264" s="1527">
        <v>45.48</v>
      </c>
      <c r="K264" s="1053">
        <f>K270</f>
        <v>0</v>
      </c>
      <c r="L264" s="1053"/>
      <c r="M264" s="1053"/>
      <c r="N264" s="2907"/>
      <c r="O264" s="2363"/>
      <c r="P264" s="2345"/>
      <c r="Q264" s="2345"/>
      <c r="R264" s="2345"/>
      <c r="S264" s="2342"/>
      <c r="T264" s="2342"/>
      <c r="U264" s="2345"/>
      <c r="V264" s="2345"/>
      <c r="Y264" s="84"/>
      <c r="Z264" s="84"/>
    </row>
    <row r="265" spans="1:26" ht="35.25" customHeight="1">
      <c r="A265" s="2727"/>
      <c r="B265" s="2575"/>
      <c r="C265" s="2881"/>
      <c r="D265" s="1082" t="s">
        <v>246</v>
      </c>
      <c r="E265" s="1527"/>
      <c r="F265" s="1527"/>
      <c r="G265" s="1527"/>
      <c r="H265" s="1090">
        <v>46.186999999999998</v>
      </c>
      <c r="I265" s="1054">
        <f t="shared" si="126"/>
        <v>-9.4983436897828399E-2</v>
      </c>
      <c r="J265" s="1527">
        <v>46.186999999999998</v>
      </c>
      <c r="K265" s="1053">
        <f>K271</f>
        <v>41.8</v>
      </c>
      <c r="L265" s="1053">
        <f>L271</f>
        <v>43.000999999999998</v>
      </c>
      <c r="M265" s="1053">
        <f>M271</f>
        <v>43</v>
      </c>
      <c r="N265" s="2907"/>
      <c r="O265" s="2880"/>
      <c r="P265" s="2345"/>
      <c r="Q265" s="2345"/>
      <c r="R265" s="2345"/>
      <c r="S265" s="2342"/>
      <c r="T265" s="2342"/>
      <c r="U265" s="2345"/>
      <c r="V265" s="2345"/>
      <c r="W265" s="158"/>
      <c r="Y265" s="84"/>
      <c r="Z265" s="84"/>
    </row>
    <row r="266" spans="1:26" ht="35.25" customHeight="1">
      <c r="A266" s="2727"/>
      <c r="B266" s="2580"/>
      <c r="C266" s="2887"/>
      <c r="D266" s="1387" t="s">
        <v>1394</v>
      </c>
      <c r="E266" s="1579"/>
      <c r="F266" s="1579"/>
      <c r="G266" s="1579"/>
      <c r="H266" s="1118"/>
      <c r="I266" s="1683"/>
      <c r="J266" s="1602"/>
      <c r="K266" s="1090"/>
      <c r="L266" s="1090">
        <v>48.5</v>
      </c>
      <c r="M266" s="1053">
        <v>48.5</v>
      </c>
      <c r="N266" s="2907"/>
      <c r="O266" s="2880"/>
      <c r="P266" s="2345"/>
      <c r="Q266" s="2345"/>
      <c r="R266" s="2345"/>
      <c r="S266" s="2342"/>
      <c r="T266" s="2342"/>
      <c r="U266" s="2345"/>
      <c r="V266" s="2345"/>
      <c r="W266" s="158"/>
      <c r="Y266" s="84"/>
      <c r="Z266" s="84"/>
    </row>
    <row r="267" spans="1:26" ht="35.25" customHeight="1">
      <c r="A267" s="2727"/>
      <c r="B267" s="2580"/>
      <c r="C267" s="2887"/>
      <c r="D267" s="1387" t="s">
        <v>3909</v>
      </c>
      <c r="E267" s="1579"/>
      <c r="F267" s="1579"/>
      <c r="G267" s="1579"/>
      <c r="H267" s="1118"/>
      <c r="I267" s="1683"/>
      <c r="J267" s="1602">
        <f>J272</f>
        <v>13.2</v>
      </c>
      <c r="K267" s="1658">
        <f t="shared" ref="K267:M267" si="127">K272</f>
        <v>13.2</v>
      </c>
      <c r="L267" s="1658">
        <f t="shared" si="127"/>
        <v>13.2</v>
      </c>
      <c r="M267" s="1535">
        <f t="shared" si="127"/>
        <v>13.2</v>
      </c>
      <c r="N267" s="2907"/>
      <c r="O267" s="2880"/>
      <c r="P267" s="2345"/>
      <c r="Q267" s="2345"/>
      <c r="R267" s="2345"/>
      <c r="S267" s="2342"/>
      <c r="T267" s="2342"/>
      <c r="U267" s="2345"/>
      <c r="V267" s="2345"/>
      <c r="W267" s="158"/>
      <c r="Y267" s="84"/>
      <c r="Z267" s="84"/>
    </row>
    <row r="268" spans="1:26" ht="40.5" customHeight="1">
      <c r="A268" s="2727"/>
      <c r="B268" s="2580"/>
      <c r="C268" s="2887"/>
      <c r="D268" s="1087" t="s">
        <v>1076</v>
      </c>
      <c r="E268" s="1573">
        <f>E263</f>
        <v>0</v>
      </c>
      <c r="F268" s="1573"/>
      <c r="G268" s="1573"/>
      <c r="H268" s="1575">
        <f>H263+H265</f>
        <v>84.086999999999989</v>
      </c>
      <c r="I268" s="1576">
        <f t="shared" si="126"/>
        <v>0.21897558481096979</v>
      </c>
      <c r="J268" s="1531">
        <f>SUM(J263,J264,J265,J267)</f>
        <v>104.867</v>
      </c>
      <c r="K268" s="1684">
        <f>SUM(K263,K264,K265,K267)</f>
        <v>102.5</v>
      </c>
      <c r="L268" s="1684">
        <f>SUM(L263,L264,L265,L267,L266)</f>
        <v>104.70099999999999</v>
      </c>
      <c r="M268" s="1560">
        <f>SUM(M263,M264,M265,M267,M266)</f>
        <v>104.7</v>
      </c>
      <c r="N268" s="2895"/>
      <c r="O268" s="2401"/>
      <c r="P268" s="2344"/>
      <c r="Q268" s="2344"/>
      <c r="R268" s="2345"/>
      <c r="S268" s="2342"/>
      <c r="T268" s="2342"/>
      <c r="U268" s="2344"/>
      <c r="V268" s="2344"/>
      <c r="Y268" s="84"/>
      <c r="Z268" s="84"/>
    </row>
    <row r="269" spans="1:26" ht="33.75" hidden="1" customHeight="1">
      <c r="A269" s="2957" t="s">
        <v>3401</v>
      </c>
      <c r="B269" s="2960" t="s">
        <v>1447</v>
      </c>
      <c r="C269" s="588" t="s">
        <v>2928</v>
      </c>
      <c r="D269" s="592"/>
      <c r="E269" s="589"/>
      <c r="F269" s="589"/>
      <c r="G269" s="589"/>
      <c r="H269" s="590"/>
      <c r="I269" s="590"/>
      <c r="J269" s="803"/>
      <c r="K269" s="590">
        <v>47.5</v>
      </c>
      <c r="L269" s="590"/>
      <c r="M269" s="590"/>
      <c r="N269" s="596"/>
      <c r="O269" s="178"/>
      <c r="P269" s="181"/>
      <c r="Q269" s="181"/>
      <c r="R269" s="221"/>
      <c r="S269" s="221"/>
      <c r="T269" s="221"/>
      <c r="U269" s="221"/>
      <c r="V269" s="558"/>
      <c r="Y269" s="84"/>
      <c r="Z269" s="84"/>
    </row>
    <row r="270" spans="1:26" ht="34.5" hidden="1" customHeight="1">
      <c r="A270" s="2958"/>
      <c r="B270" s="2960"/>
      <c r="C270" s="588" t="s">
        <v>471</v>
      </c>
      <c r="D270" s="592"/>
      <c r="E270" s="589"/>
      <c r="F270" s="589"/>
      <c r="G270" s="589"/>
      <c r="H270" s="590"/>
      <c r="I270" s="590"/>
      <c r="J270" s="803">
        <v>45.48</v>
      </c>
      <c r="K270" s="533">
        <v>0</v>
      </c>
      <c r="L270" s="590">
        <v>48.5</v>
      </c>
      <c r="M270" s="590">
        <v>48.5</v>
      </c>
      <c r="N270" s="596"/>
      <c r="O270" s="178"/>
      <c r="P270" s="181"/>
      <c r="Q270" s="181"/>
      <c r="R270" s="221"/>
      <c r="S270" s="221"/>
      <c r="T270" s="221"/>
      <c r="U270" s="221"/>
      <c r="V270" s="558"/>
      <c r="Y270" s="84"/>
      <c r="Z270" s="84"/>
    </row>
    <row r="271" spans="1:26" ht="32.25" hidden="1" customHeight="1">
      <c r="A271" s="2958"/>
      <c r="B271" s="2960"/>
      <c r="C271" s="588" t="s">
        <v>246</v>
      </c>
      <c r="D271" s="592"/>
      <c r="E271" s="589"/>
      <c r="F271" s="589"/>
      <c r="G271" s="589"/>
      <c r="H271" s="590"/>
      <c r="I271" s="590"/>
      <c r="J271" s="803">
        <v>46.186999999999998</v>
      </c>
      <c r="K271" s="533">
        <v>41.8</v>
      </c>
      <c r="L271" s="590">
        <v>43.000999999999998</v>
      </c>
      <c r="M271" s="590">
        <v>43</v>
      </c>
      <c r="N271" s="596"/>
      <c r="O271" s="178"/>
      <c r="P271" s="181"/>
      <c r="Q271" s="181"/>
      <c r="R271" s="221"/>
      <c r="S271" s="221"/>
      <c r="T271" s="221"/>
      <c r="U271" s="221"/>
      <c r="V271" s="558"/>
      <c r="Y271" s="84"/>
      <c r="Z271" s="84"/>
    </row>
    <row r="272" spans="1:26" ht="32.25" hidden="1" customHeight="1">
      <c r="A272" s="2958"/>
      <c r="B272" s="2960"/>
      <c r="C272" s="588" t="s">
        <v>1389</v>
      </c>
      <c r="D272" s="592"/>
      <c r="E272" s="589"/>
      <c r="F272" s="589"/>
      <c r="G272" s="589"/>
      <c r="H272" s="590"/>
      <c r="I272" s="590"/>
      <c r="J272" s="803">
        <v>13.2</v>
      </c>
      <c r="K272" s="533">
        <v>13.2</v>
      </c>
      <c r="L272" s="533">
        <v>13.2</v>
      </c>
      <c r="M272" s="533">
        <v>13.2</v>
      </c>
      <c r="N272" s="596"/>
      <c r="O272" s="178"/>
      <c r="P272" s="181"/>
      <c r="Q272" s="181"/>
      <c r="R272" s="221"/>
      <c r="S272" s="221"/>
      <c r="T272" s="221"/>
      <c r="U272" s="221"/>
      <c r="V272" s="558"/>
      <c r="Y272" s="84"/>
      <c r="Z272" s="84"/>
    </row>
    <row r="273" spans="1:26" ht="29.25" hidden="1" customHeight="1">
      <c r="A273" s="2959"/>
      <c r="B273" s="2960"/>
      <c r="C273" s="592" t="s">
        <v>1076</v>
      </c>
      <c r="D273" s="592"/>
      <c r="E273" s="589"/>
      <c r="F273" s="589"/>
      <c r="G273" s="589"/>
      <c r="H273" s="590"/>
      <c r="I273" s="590"/>
      <c r="J273" s="803">
        <f>SUM(J269,J270,J271,J272)</f>
        <v>104.867</v>
      </c>
      <c r="K273" s="808">
        <f>SUM(K269,K270,K271,K272)</f>
        <v>102.5</v>
      </c>
      <c r="L273" s="808">
        <f t="shared" ref="L273:M273" si="128">SUM(L269,L270,L271,L272)</f>
        <v>104.70100000000001</v>
      </c>
      <c r="M273" s="808">
        <f t="shared" si="128"/>
        <v>104.7</v>
      </c>
      <c r="N273" s="198"/>
      <c r="O273" s="1505"/>
      <c r="P273" s="1506"/>
      <c r="Q273" s="1506"/>
      <c r="R273" s="932"/>
      <c r="S273" s="932"/>
      <c r="T273" s="932"/>
      <c r="U273" s="932"/>
      <c r="V273" s="939"/>
      <c r="Y273" s="84"/>
      <c r="Z273" s="84"/>
    </row>
    <row r="274" spans="1:26" ht="73.5" customHeight="1">
      <c r="A274" s="2893"/>
      <c r="B274" s="2893"/>
      <c r="C274" s="2893"/>
      <c r="D274" s="2893"/>
      <c r="E274" s="266" t="s">
        <v>1091</v>
      </c>
      <c r="F274" s="266"/>
      <c r="G274" s="266" t="str">
        <f>G13</f>
        <v>2024  m. išlaidų projektas (lėšų poreikis), tūkst. Eur</v>
      </c>
      <c r="H274" s="194" t="str">
        <f>H13</f>
        <v>2024  m.asignavimai ir kitos lėšos, tūkst. Eur</v>
      </c>
      <c r="I274" s="186" t="s">
        <v>3099</v>
      </c>
      <c r="J274" s="583" t="s">
        <v>3100</v>
      </c>
      <c r="K274" s="186" t="str">
        <f>K13</f>
        <v>2025 m. asignavimai ir kitos lėšos, tūkst. Eur</v>
      </c>
      <c r="L274" s="186" t="str">
        <f>L13</f>
        <v>2026 m.asignavimai ir kitos lėšos, tūkst. Eur</v>
      </c>
      <c r="M274" s="186" t="s">
        <v>3097</v>
      </c>
      <c r="N274" s="2853"/>
      <c r="O274" s="2853"/>
      <c r="P274" s="2853"/>
      <c r="Q274" s="2853"/>
      <c r="R274" s="2853"/>
      <c r="S274" s="2853"/>
      <c r="T274" s="2853"/>
      <c r="U274" s="2853"/>
      <c r="V274" s="2853"/>
      <c r="Y274" s="84"/>
      <c r="Z274" s="84"/>
    </row>
    <row r="275" spans="1:26" ht="44.45" customHeight="1">
      <c r="A275" s="220"/>
      <c r="B275" s="2886" t="s">
        <v>722</v>
      </c>
      <c r="C275" s="2886"/>
      <c r="D275" s="2886"/>
      <c r="E275" s="267">
        <f>SUM(E276,E277,E280,E281,E282,E283,)</f>
        <v>7165.9719999999988</v>
      </c>
      <c r="F275" s="268">
        <f t="shared" ref="F275:F277" si="129">H275/E275-1</f>
        <v>0.11174897138866857</v>
      </c>
      <c r="G275" s="267">
        <f>SUM(G276,G277,G280,G281,G282,G283,)</f>
        <v>7735.44</v>
      </c>
      <c r="H275" s="578">
        <f>SUM(H276,H277,H280,H281,H282,H283,)</f>
        <v>7966.7619999999988</v>
      </c>
      <c r="I275" s="580">
        <f t="shared" ref="I275:I287" si="130">K275/H275-1</f>
        <v>0.28830809807045843</v>
      </c>
      <c r="J275" s="805">
        <f t="shared" ref="J275:M275" si="131">SUM(J276,J277,J280,J281,J282,J283,)</f>
        <v>9253.8809999999994</v>
      </c>
      <c r="K275" s="578">
        <f>SUM(K276,K277,K280,K281,K282,K283,)</f>
        <v>10263.644</v>
      </c>
      <c r="L275" s="578">
        <f t="shared" si="131"/>
        <v>10759.049999999997</v>
      </c>
      <c r="M275" s="173">
        <f t="shared" si="131"/>
        <v>8597.7929999999978</v>
      </c>
      <c r="N275" s="1695"/>
      <c r="O275" s="175"/>
      <c r="P275" s="175"/>
      <c r="Q275" s="175"/>
      <c r="R275" s="199"/>
      <c r="S275" s="199"/>
      <c r="T275" s="199"/>
      <c r="U275" s="199"/>
      <c r="V275" s="175"/>
      <c r="Y275" s="84"/>
      <c r="Z275" s="84"/>
    </row>
    <row r="276" spans="1:26" ht="39" customHeight="1">
      <c r="A276" s="166"/>
      <c r="B276" s="2848" t="s">
        <v>2027</v>
      </c>
      <c r="C276" s="2848"/>
      <c r="D276" s="2848"/>
      <c r="E276" s="264">
        <f>SUM(E16,E36,E39,E42,E75,E93,E97,E100,E102,E104,E108,E112,E115,E117,E119,E123,E127,E131,E137,E139,E144,E146,E148,E153,E158,E160,E173,E182,E187,E189,E198,E203,E207,E220,E223,E227,E250,E47)</f>
        <v>4300.5459999999994</v>
      </c>
      <c r="F276" s="268">
        <f t="shared" si="129"/>
        <v>-7.0987730395163928E-2</v>
      </c>
      <c r="G276" s="264">
        <f>SUM(G16,G36,G39,G42,G75,G93,G97,G100,G102,G104,G108,G112,G115,G117,G119,G123,G127,G131,G137,G139,G144,G146,G148,G153,G158,G160,G173,G182,G187,G189,G198,G203,G207,G220,G223,G227,G250,G47)</f>
        <v>4035.0029999999997</v>
      </c>
      <c r="H276" s="169">
        <f>SUM(H16,H36,H39,H42,H75,H93,H97,H100,H102,H104,H108,H112,H115,H117,H119,H123,H127,H137,H139,H144,H146,H148,H153,H158,H160,H173,H182,H187,H189,H198,H220,H223,H250,H47,)</f>
        <v>3995.2599999999989</v>
      </c>
      <c r="I276" s="814">
        <f t="shared" si="130"/>
        <v>7.4260498690948973E-2</v>
      </c>
      <c r="J276" s="804">
        <f>SUM(J16,J36,J39,J42,J75,J93,J97,J100,J102,J104,J108,J112,J115,J117,J119,J123,J127,J137,J139,J144,J146,J148,J153,J158,J160,J173,J182,J187,J189,J198,J220,J223,J250,J47,J264,J234,J208,J132,J228,J204,)</f>
        <v>3572.2099999999996</v>
      </c>
      <c r="K276" s="169">
        <f>SUM(K16,K36,K39,K42,K47,K75,K93,K97,K100,K102,K104,K108,K112,K115,K117,K119,K123,K127,K132,K139,K144,K146,K148,K153,K158,K160,K173,K182,K187,K189,K204,K208,K220,K228,K234,K250,K264,)</f>
        <v>4291.95</v>
      </c>
      <c r="L276" s="169">
        <f>SUM(L16,L36,L39,L42,L47,L75,L93,L97,L100,L102,L104,L108,L112,L115,L117,L119,L123,L127,L132,L139,L144,L146,L148,L153,L158,L160,L173,L182,L187,L189,L204,L208,L220,L228,L234,L250,L264,)</f>
        <v>4325.7789999999986</v>
      </c>
      <c r="M276" s="167">
        <f>SUM(M16,M36,M39,M42,M47,M75,M93,M97,M100,M102,M104,M108,M112,M115,M117,M119,M123,M127,M132,M139,M144,M146,M148,M153,M158,M160,M173,M182,M187,M189,M204,M208,M220,M228,M234,M250,M264,)</f>
        <v>4243.3489999999993</v>
      </c>
      <c r="N276" s="198"/>
      <c r="O276" s="175"/>
      <c r="P276" s="175"/>
      <c r="Q276" s="175"/>
      <c r="R276" s="199"/>
      <c r="S276" s="199"/>
      <c r="T276" s="199"/>
      <c r="U276" s="199"/>
      <c r="V276" s="175"/>
      <c r="Y276" s="84"/>
      <c r="Z276" s="84"/>
    </row>
    <row r="277" spans="1:26" ht="31.15" customHeight="1">
      <c r="A277" s="166"/>
      <c r="B277" s="2848" t="s">
        <v>724</v>
      </c>
      <c r="C277" s="2848"/>
      <c r="D277" s="2848"/>
      <c r="E277" s="264">
        <f>SUM(E19,E41,E43,E58,E60,E74,E88,E98,E105,E134,E141,E149,E150,E154,E175,E183,E190,)</f>
        <v>1857.5709999999999</v>
      </c>
      <c r="F277" s="268">
        <f t="shared" si="129"/>
        <v>0.2878199541228843</v>
      </c>
      <c r="G277" s="264">
        <f>SUM(G19,G41,G43,G58,G60,G74,G88,G98,G105,G134,G141,G149,G150,G154,G175,G183,G190,)</f>
        <v>2635.3169999999996</v>
      </c>
      <c r="H277" s="169">
        <f>H278+H279</f>
        <v>2392.2170000000001</v>
      </c>
      <c r="I277" s="814">
        <f t="shared" si="130"/>
        <v>3.6324463875977653E-2</v>
      </c>
      <c r="J277" s="804">
        <f>J278+J279</f>
        <v>2786.52</v>
      </c>
      <c r="K277" s="169">
        <f>K278+K279</f>
        <v>2479.1129999999998</v>
      </c>
      <c r="L277" s="169">
        <f>L278+L279</f>
        <v>2478.1729999999998</v>
      </c>
      <c r="M277" s="167">
        <f t="shared" ref="M277" si="132">M278+M279</f>
        <v>2478.1729999999998</v>
      </c>
      <c r="N277" s="198"/>
      <c r="O277" s="175"/>
      <c r="P277" s="175"/>
      <c r="Q277" s="175"/>
      <c r="R277" s="199"/>
      <c r="S277" s="199"/>
      <c r="T277" s="199"/>
      <c r="U277" s="199"/>
      <c r="V277" s="175"/>
      <c r="Y277" s="84"/>
      <c r="Z277" s="84"/>
    </row>
    <row r="278" spans="1:26" ht="45" hidden="1" customHeight="1">
      <c r="A278" s="588"/>
      <c r="B278" s="2890" t="s">
        <v>3910</v>
      </c>
      <c r="C278" s="2891"/>
      <c r="D278" s="2892"/>
      <c r="E278" s="589"/>
      <c r="F278" s="589"/>
      <c r="G278" s="589"/>
      <c r="H278" s="697">
        <f>SUM(H41,H58,H60,H74,H88,H149)</f>
        <v>2128.585</v>
      </c>
      <c r="I278" s="815">
        <f t="shared" si="130"/>
        <v>-3.3652872683026636E-2</v>
      </c>
      <c r="J278" s="812">
        <f>SUM(J41,J58,J60,J74,J88,J149)</f>
        <v>2639.0479999999998</v>
      </c>
      <c r="K278" s="533">
        <f>SUM(K41,K58,K60,K74,K88,K149,K176)</f>
        <v>2056.9519999999998</v>
      </c>
      <c r="L278" s="533">
        <f>SUM(L41,L58,L60,L74,L88,L149,L176)</f>
        <v>2056.9519999999998</v>
      </c>
      <c r="M278" s="533">
        <f>SUM(M41,M58,M60,M74,M88,M149,M176)</f>
        <v>2056.9519999999998</v>
      </c>
      <c r="N278" s="255"/>
      <c r="O278" s="175"/>
      <c r="P278" s="175"/>
      <c r="Q278" s="175"/>
      <c r="R278" s="199"/>
      <c r="S278" s="199"/>
      <c r="T278" s="199"/>
      <c r="U278" s="199"/>
      <c r="V278" s="175"/>
      <c r="Y278" s="84"/>
      <c r="Z278" s="84"/>
    </row>
    <row r="279" spans="1:26" ht="39" hidden="1" customHeight="1">
      <c r="A279" s="588"/>
      <c r="B279" s="809" t="s">
        <v>3911</v>
      </c>
      <c r="C279" s="810"/>
      <c r="D279" s="811"/>
      <c r="E279" s="589"/>
      <c r="F279" s="589"/>
      <c r="G279" s="589"/>
      <c r="H279" s="697">
        <f>SUM(H19,H61,H105,H141,H150,H175,H183,H190,H154,H134,H98,)</f>
        <v>263.63200000000001</v>
      </c>
      <c r="I279" s="815">
        <f t="shared" si="130"/>
        <v>0.60132684954785454</v>
      </c>
      <c r="J279" s="812">
        <f>SUM(J19,J61,J105,J141,J150,J175,J183,J190,J154,J134,J98,J43,)</f>
        <v>147.47200000000001</v>
      </c>
      <c r="K279" s="697">
        <f>SUM(K19,K61,K105,K141,K150,K175,K183,K190,K154,K134,K98,K43,K199)</f>
        <v>422.161</v>
      </c>
      <c r="L279" s="697">
        <f>SUM(L19,L61,L105,L141,L150,L175,L183,L190,L154,L134,L98,L43,L199)</f>
        <v>421.22099999999995</v>
      </c>
      <c r="M279" s="533">
        <f t="shared" ref="M279" si="133">SUM(M19,M61,M105,M141,M150,M175,M183,M190,M154,M134,M98,M43,M199)</f>
        <v>421.22099999999995</v>
      </c>
      <c r="N279" s="198"/>
      <c r="O279" s="175"/>
      <c r="P279" s="175"/>
      <c r="Q279" s="175"/>
      <c r="R279" s="199"/>
      <c r="S279" s="199"/>
      <c r="T279" s="199"/>
      <c r="U279" s="199"/>
      <c r="V279" s="175"/>
      <c r="Y279" s="84"/>
      <c r="Z279" s="84"/>
    </row>
    <row r="280" spans="1:26" ht="29.25" customHeight="1">
      <c r="A280" s="166"/>
      <c r="B280" s="2848" t="s">
        <v>725</v>
      </c>
      <c r="C280" s="2848"/>
      <c r="D280" s="2848"/>
      <c r="E280" s="264">
        <f>SUM(E17,E113,E128,E174,)</f>
        <v>472.85499999999996</v>
      </c>
      <c r="F280" s="265">
        <f t="shared" ref="F280:F285" si="134">H280/E280-1</f>
        <v>8.0246587220183851E-2</v>
      </c>
      <c r="G280" s="264">
        <f>SUM(G17,G113,G128,G174,)</f>
        <v>488.67900000000003</v>
      </c>
      <c r="H280" s="169">
        <f>SUM(H17,H113,H128,H174,)</f>
        <v>510.8</v>
      </c>
      <c r="I280" s="814">
        <f t="shared" si="130"/>
        <v>0.23541111981205942</v>
      </c>
      <c r="J280" s="804">
        <f>SUM(J17,J113,J128,J174,)</f>
        <v>2.9430000000000001</v>
      </c>
      <c r="K280" s="167">
        <f>SUM(K17,K113,K128,K174,K129,K267,)</f>
        <v>631.048</v>
      </c>
      <c r="L280" s="167">
        <f>SUM(L17,L113,L128,L174,L129,L267,)</f>
        <v>672.40000000000009</v>
      </c>
      <c r="M280" s="167">
        <f>SUM(M17,M113,M128,M174,M129,M267,)</f>
        <v>712.7</v>
      </c>
      <c r="N280" s="255"/>
      <c r="P280" s="175"/>
      <c r="Q280" s="175"/>
      <c r="R280" s="199"/>
      <c r="S280" s="199"/>
      <c r="T280" s="199"/>
      <c r="U280" s="199"/>
      <c r="V280" s="175"/>
      <c r="Y280" s="84"/>
      <c r="Z280" s="84"/>
    </row>
    <row r="281" spans="1:26" ht="29.45" customHeight="1">
      <c r="A281" s="166"/>
      <c r="B281" s="2848" t="s">
        <v>2861</v>
      </c>
      <c r="C281" s="2848"/>
      <c r="D281" s="2848"/>
      <c r="E281" s="264">
        <f>SUM(E135,E140,E185,E199,E209,E224,E229,E235,E252,E265,E162,)</f>
        <v>435</v>
      </c>
      <c r="F281" s="265">
        <f t="shared" si="134"/>
        <v>0.64348965517241385</v>
      </c>
      <c r="G281" s="264">
        <f>SUM(G135,G140,G185,G199,G209,G224,G229,G235,G252,G265,G162,)</f>
        <v>576.44100000000003</v>
      </c>
      <c r="H281" s="169">
        <f>SUM(H135,H140,H185,H199,H209,H224,H229,H230,H186,H142,H265,H235,H252,H162,H125)</f>
        <v>714.91800000000001</v>
      </c>
      <c r="I281" s="814">
        <f t="shared" si="130"/>
        <v>1.8337655507344901</v>
      </c>
      <c r="J281" s="804">
        <f>SUM(J135,J140,J185,J199,J209,J224,J229,J230,J186,J142,J265,J235,J252,J162,J125)</f>
        <v>2247.7319999999995</v>
      </c>
      <c r="K281" s="169">
        <f>SUM(K135,K140,K185,K209,K224,K229,K230,K186,K142,K265,K235,K252,K162,K125)</f>
        <v>2025.91</v>
      </c>
      <c r="L281" s="169">
        <f>SUM(L135,L140,L185,,L209,L224,L229,L230,L186,L142,L265,L235,L252,L162,L125)</f>
        <v>2626.4789999999998</v>
      </c>
      <c r="M281" s="167">
        <f>SUM(M135,M140,M185,,M209,M224,M229,M230,M186,M142,M265,M235,M252,M162,M125)</f>
        <v>929.55599999999993</v>
      </c>
      <c r="N281" s="255"/>
      <c r="O281" s="175"/>
      <c r="P281" s="175"/>
      <c r="Q281" s="175"/>
      <c r="R281" s="199"/>
      <c r="S281" s="199"/>
      <c r="T281" s="199"/>
      <c r="U281" s="199"/>
      <c r="V281" s="175"/>
      <c r="Y281" s="84"/>
      <c r="Z281" s="84"/>
    </row>
    <row r="282" spans="1:26" ht="30.75" customHeight="1">
      <c r="A282" s="166"/>
      <c r="B282" s="2848" t="s">
        <v>726</v>
      </c>
      <c r="C282" s="2848"/>
      <c r="D282" s="2848"/>
      <c r="E282" s="264">
        <f>SUM(E205)</f>
        <v>100</v>
      </c>
      <c r="F282" s="265">
        <f t="shared" si="134"/>
        <v>0</v>
      </c>
      <c r="G282" s="264">
        <f>SUM(G205)</f>
        <v>0</v>
      </c>
      <c r="H282" s="169">
        <f>SUM(H205)</f>
        <v>100</v>
      </c>
      <c r="I282" s="814">
        <f t="shared" si="130"/>
        <v>-0.7379</v>
      </c>
      <c r="J282" s="804">
        <f>SUM(J205)</f>
        <v>26.213999999999999</v>
      </c>
      <c r="K282" s="169">
        <f>SUM(K205,K133,K163,K210,K231,K236,K253,K266,)</f>
        <v>26.21</v>
      </c>
      <c r="L282" s="169">
        <f>SUM(L205,L133,L163,L210,L231,L236,L253,L266,)</f>
        <v>656.21899999999994</v>
      </c>
      <c r="M282" s="167">
        <f t="shared" ref="M282" si="135">SUM(M205,M133,M163,M210,M231,M236,M253,M266,)</f>
        <v>234.01500000000001</v>
      </c>
      <c r="N282" s="198"/>
      <c r="O282" s="175"/>
      <c r="P282" s="175"/>
      <c r="Q282" s="175"/>
      <c r="R282" s="199"/>
      <c r="S282" s="199"/>
      <c r="T282" s="199"/>
      <c r="U282" s="199"/>
      <c r="V282" s="175"/>
      <c r="Y282" s="84"/>
      <c r="Z282" s="84"/>
    </row>
    <row r="283" spans="1:26" ht="26.45" customHeight="1">
      <c r="A283" s="166"/>
      <c r="B283" s="2848" t="s">
        <v>727</v>
      </c>
      <c r="C283" s="2848"/>
      <c r="D283" s="2848"/>
      <c r="E283" s="264">
        <v>0</v>
      </c>
      <c r="F283" s="265"/>
      <c r="G283" s="264">
        <v>0</v>
      </c>
      <c r="H283" s="169">
        <f>SUM(H24,H131,H203,H207,H227,H233,H263,)</f>
        <v>253.56699999999998</v>
      </c>
      <c r="I283" s="814">
        <f t="shared" si="130"/>
        <v>2.1921070170802981</v>
      </c>
      <c r="J283" s="804">
        <f>SUM(J24,J131,J203,J207,J227,J233,J263,)</f>
        <v>618.26199999999994</v>
      </c>
      <c r="K283" s="169">
        <f>SUM(K131,K203,K207,K227,K233,K263,K161,K251,)</f>
        <v>809.4129999999999</v>
      </c>
      <c r="L283" s="169">
        <f t="shared" ref="L283:M283" si="136">SUM(L131,L203,L207,L227,L233,L263,L161,L251,)</f>
        <v>0</v>
      </c>
      <c r="M283" s="167">
        <f t="shared" si="136"/>
        <v>0</v>
      </c>
      <c r="N283" s="255"/>
      <c r="Q283" s="175"/>
      <c r="R283" s="199"/>
      <c r="S283" s="199"/>
      <c r="T283" s="199"/>
      <c r="U283" s="199"/>
      <c r="V283" s="175"/>
      <c r="Y283" s="84"/>
      <c r="Z283" s="84"/>
    </row>
    <row r="284" spans="1:26" ht="40.5" customHeight="1">
      <c r="A284" s="220"/>
      <c r="B284" s="2886" t="s">
        <v>728</v>
      </c>
      <c r="C284" s="2886"/>
      <c r="D284" s="2886"/>
      <c r="E284" s="269">
        <v>5249.6</v>
      </c>
      <c r="F284" s="270">
        <f t="shared" si="134"/>
        <v>0.2402468759524532</v>
      </c>
      <c r="G284" s="269"/>
      <c r="H284" s="579">
        <f>SUM(H35,H38,H45,)</f>
        <v>6510.7999999999993</v>
      </c>
      <c r="I284" s="816">
        <f t="shared" si="130"/>
        <v>0.1526847699207472</v>
      </c>
      <c r="J284" s="806">
        <f>SUM(J35,J38,J45,)</f>
        <v>7504.9000000000005</v>
      </c>
      <c r="K284" s="579">
        <f>SUM(K35,K38,K45,)</f>
        <v>7504.9000000000005</v>
      </c>
      <c r="L284" s="579">
        <f>SUM(L35,L38,L45,)</f>
        <v>7504.9000000000005</v>
      </c>
      <c r="M284" s="1237">
        <f t="shared" ref="M284" si="137">SUM(M35,M38,M45,)</f>
        <v>7504.9000000000005</v>
      </c>
      <c r="N284" s="255"/>
      <c r="P284" s="175"/>
      <c r="Q284" s="175"/>
      <c r="R284" s="199"/>
      <c r="S284" s="199"/>
      <c r="T284" s="199"/>
      <c r="U284" s="199"/>
      <c r="V284" s="175"/>
      <c r="Y284" s="84"/>
      <c r="Z284" s="84"/>
    </row>
    <row r="285" spans="1:26" ht="27.75" customHeight="1">
      <c r="A285" s="166"/>
      <c r="B285" s="2889" t="s">
        <v>1092</v>
      </c>
      <c r="C285" s="2889"/>
      <c r="D285" s="2889"/>
      <c r="E285" s="267">
        <f>E275+E284</f>
        <v>12415.572</v>
      </c>
      <c r="F285" s="270">
        <f t="shared" si="134"/>
        <v>0.1660809505997789</v>
      </c>
      <c r="G285" s="267">
        <f>G275+G284</f>
        <v>7735.44</v>
      </c>
      <c r="H285" s="578">
        <f>H275+H284</f>
        <v>14477.561999999998</v>
      </c>
      <c r="I285" s="580">
        <f t="shared" si="130"/>
        <v>0.22731603566954184</v>
      </c>
      <c r="J285" s="805">
        <f>J275+J284</f>
        <v>16758.780999999999</v>
      </c>
      <c r="K285" s="578">
        <f>K275+K284</f>
        <v>17768.544000000002</v>
      </c>
      <c r="L285" s="578">
        <f>L275+L284</f>
        <v>18263.949999999997</v>
      </c>
      <c r="M285" s="173">
        <f>M275+M284</f>
        <v>16102.692999999999</v>
      </c>
      <c r="N285" s="197"/>
      <c r="O285" s="175"/>
      <c r="P285" s="175"/>
      <c r="Q285" s="175"/>
      <c r="R285" s="199"/>
      <c r="S285" s="199"/>
      <c r="T285" s="199"/>
      <c r="U285" s="199"/>
      <c r="V285" s="175"/>
      <c r="Y285" s="84"/>
      <c r="Z285" s="84"/>
    </row>
    <row r="286" spans="1:26" ht="33.75" customHeight="1">
      <c r="A286" s="166"/>
      <c r="B286" s="2886" t="s">
        <v>2028</v>
      </c>
      <c r="C286" s="2886"/>
      <c r="D286" s="2886"/>
      <c r="E286" s="267">
        <v>0</v>
      </c>
      <c r="F286" s="270"/>
      <c r="G286" s="267">
        <v>0</v>
      </c>
      <c r="H286" s="578">
        <f>SUM(H254,H237,H211,H136,H164)</f>
        <v>510</v>
      </c>
      <c r="I286" s="580">
        <f t="shared" si="130"/>
        <v>3.7665941176470588</v>
      </c>
      <c r="J286" s="805">
        <f>SUM(J254,J237,J211,J136,J164)</f>
        <v>2734.9119999999998</v>
      </c>
      <c r="K286" s="578">
        <f>SUM(K254,K237,K211,K136,K164)</f>
        <v>2430.9630000000002</v>
      </c>
      <c r="L286" s="578">
        <f t="shared" ref="L286:M286" si="138">SUM(L254,L237,L211,L136,L164)</f>
        <v>2872.2849999999999</v>
      </c>
      <c r="M286" s="173">
        <f t="shared" si="138"/>
        <v>882.36099999999988</v>
      </c>
      <c r="N286" s="197"/>
      <c r="O286" s="175"/>
      <c r="P286" s="175"/>
      <c r="Q286" s="175"/>
      <c r="R286" s="199"/>
      <c r="S286" s="199"/>
      <c r="T286" s="199"/>
      <c r="U286" s="199"/>
      <c r="V286" s="175"/>
      <c r="Y286" s="84"/>
      <c r="Z286" s="84"/>
    </row>
    <row r="287" spans="1:26" ht="39" customHeight="1">
      <c r="A287" s="166"/>
      <c r="B287" s="2889" t="s">
        <v>729</v>
      </c>
      <c r="C287" s="2889"/>
      <c r="D287" s="2889"/>
      <c r="E287" s="267">
        <v>0</v>
      </c>
      <c r="F287" s="270"/>
      <c r="G287" s="267">
        <v>0</v>
      </c>
      <c r="H287" s="580">
        <f>H285/E285-1</f>
        <v>0.1660809505997789</v>
      </c>
      <c r="I287" s="580">
        <f t="shared" si="130"/>
        <v>0.3687062534783232</v>
      </c>
      <c r="J287" s="807">
        <f t="shared" ref="J287" si="139">J285/G285-1</f>
        <v>1.166493567269606</v>
      </c>
      <c r="K287" s="580">
        <f>K285/H285-1</f>
        <v>0.22731603566954184</v>
      </c>
      <c r="L287" s="580">
        <f>L285/K285-1</f>
        <v>2.7881068927200436E-2</v>
      </c>
      <c r="M287" s="176">
        <f>M285/L285-1</f>
        <v>-0.11833458808198649</v>
      </c>
      <c r="N287" s="197"/>
      <c r="O287" s="175"/>
      <c r="P287" s="175"/>
      <c r="Q287" s="175"/>
      <c r="R287" s="199"/>
      <c r="S287" s="199"/>
      <c r="T287" s="199"/>
      <c r="U287" s="199"/>
      <c r="V287" s="175"/>
      <c r="Y287" s="84"/>
      <c r="Z287" s="84"/>
    </row>
    <row r="288" spans="1:26">
      <c r="A288" s="165"/>
      <c r="B288" s="165"/>
      <c r="C288" s="165"/>
      <c r="D288" s="165"/>
      <c r="E288" s="165"/>
      <c r="F288" s="165"/>
      <c r="G288" s="165"/>
      <c r="H288" s="165"/>
      <c r="I288" s="165"/>
      <c r="J288" s="584"/>
      <c r="K288" s="165"/>
      <c r="L288" s="165"/>
      <c r="M288" s="165"/>
      <c r="N288" s="170"/>
      <c r="O288" s="165"/>
      <c r="P288" s="165"/>
      <c r="Q288" s="165"/>
      <c r="R288" s="170"/>
      <c r="S288" s="170"/>
      <c r="T288" s="170"/>
      <c r="U288" s="170"/>
      <c r="V288" s="89"/>
      <c r="Y288" s="84"/>
      <c r="Z288" s="84"/>
    </row>
    <row r="289" spans="1:26" hidden="1">
      <c r="E289" s="84"/>
      <c r="F289" s="84"/>
      <c r="J289" s="585" t="s">
        <v>4065</v>
      </c>
      <c r="K289" s="84">
        <v>5758.6210000000001</v>
      </c>
      <c r="Y289" s="84"/>
      <c r="Z289" s="84"/>
    </row>
    <row r="290" spans="1:26" hidden="1">
      <c r="A290" s="87"/>
      <c r="B290" s="124"/>
      <c r="C290" s="89"/>
      <c r="D290" s="89"/>
      <c r="E290" s="123"/>
      <c r="F290" s="123"/>
      <c r="G290" s="152"/>
      <c r="H290" s="123">
        <v>4859.6270000000004</v>
      </c>
      <c r="I290" s="123"/>
      <c r="J290" s="586"/>
      <c r="K290" s="123"/>
      <c r="L290" s="123"/>
      <c r="M290" s="123"/>
      <c r="N290" s="124"/>
      <c r="O290" s="123"/>
      <c r="Y290" s="84"/>
      <c r="Z290" s="84"/>
    </row>
    <row r="291" spans="1:26" hidden="1">
      <c r="A291" s="87"/>
      <c r="B291" s="87"/>
      <c r="C291" s="87"/>
      <c r="D291" s="87"/>
      <c r="E291" s="87"/>
      <c r="F291" s="87"/>
      <c r="G291" s="87"/>
      <c r="H291" s="87"/>
      <c r="I291" s="87"/>
      <c r="J291" s="582"/>
      <c r="K291" s="87"/>
      <c r="L291" s="87"/>
      <c r="M291" s="87"/>
      <c r="N291" s="125"/>
      <c r="O291" s="87"/>
      <c r="Y291" s="84"/>
      <c r="Z291" s="84"/>
    </row>
    <row r="292" spans="1:26" hidden="1">
      <c r="A292" s="87"/>
      <c r="B292" s="87"/>
      <c r="C292" s="87"/>
      <c r="D292" s="87"/>
      <c r="E292" s="87"/>
      <c r="F292" s="87"/>
      <c r="G292" s="87"/>
      <c r="H292" s="115">
        <f>H290-H276-H280-H282-H283</f>
        <v>1.5631940186722204E-12</v>
      </c>
      <c r="I292" s="115"/>
      <c r="J292" s="587"/>
      <c r="K292" s="87"/>
      <c r="L292" s="87"/>
      <c r="M292" s="87"/>
      <c r="N292" s="125"/>
      <c r="O292" s="87"/>
      <c r="Y292" s="84"/>
      <c r="Z292" s="84"/>
    </row>
    <row r="293" spans="1:26" hidden="1">
      <c r="A293" s="87"/>
      <c r="B293" s="87"/>
      <c r="C293" s="87"/>
      <c r="D293" s="87"/>
      <c r="E293" s="87"/>
      <c r="F293" s="87"/>
      <c r="G293" s="87"/>
      <c r="H293" s="87"/>
      <c r="I293" s="87"/>
      <c r="J293" s="582"/>
      <c r="K293" s="87"/>
      <c r="L293" s="87"/>
      <c r="M293" s="87"/>
      <c r="N293" s="125"/>
      <c r="O293" s="87"/>
      <c r="Y293" s="84"/>
      <c r="Z293" s="84"/>
    </row>
    <row r="294" spans="1:26" hidden="1">
      <c r="A294" s="87"/>
      <c r="B294" s="87"/>
      <c r="C294" s="87"/>
      <c r="D294" s="87"/>
      <c r="E294" s="87"/>
      <c r="F294" s="87"/>
      <c r="G294" s="87"/>
      <c r="H294" s="87"/>
      <c r="I294" s="87"/>
      <c r="J294" s="582"/>
      <c r="K294" s="115">
        <f>K289-K276-K280-K282-K283</f>
        <v>0</v>
      </c>
      <c r="L294" s="87"/>
      <c r="M294" s="87"/>
      <c r="N294" s="125"/>
      <c r="O294" s="87"/>
      <c r="Y294" s="84"/>
      <c r="Z294" s="84"/>
    </row>
    <row r="295" spans="1:26" hidden="1">
      <c r="A295" s="87"/>
      <c r="B295" s="87"/>
      <c r="C295" s="87"/>
      <c r="D295" s="87"/>
      <c r="E295" s="87"/>
      <c r="F295" s="87"/>
      <c r="G295" s="87"/>
      <c r="H295" s="87"/>
      <c r="I295" s="87"/>
      <c r="J295" s="582"/>
      <c r="K295" s="87"/>
      <c r="L295" s="87"/>
      <c r="M295" s="87"/>
      <c r="N295" s="125"/>
      <c r="O295" s="87"/>
      <c r="Y295" s="84"/>
      <c r="Z295" s="84"/>
    </row>
    <row r="296" spans="1:26" ht="15" hidden="1">
      <c r="A296" s="87"/>
      <c r="B296" s="87"/>
      <c r="C296" s="87"/>
      <c r="D296" s="87"/>
      <c r="E296" s="87"/>
      <c r="F296" s="87"/>
      <c r="G296" s="87"/>
      <c r="H296" s="87"/>
      <c r="I296" s="87"/>
      <c r="J296" s="1215"/>
      <c r="K296" s="1232">
        <v>8795.2080000000005</v>
      </c>
      <c r="L296" s="1233">
        <v>10759.049000000001</v>
      </c>
      <c r="M296" s="1233">
        <v>8597.7929999999997</v>
      </c>
      <c r="N296" s="1696"/>
      <c r="O296" s="87"/>
      <c r="Y296" s="84"/>
      <c r="Z296" s="84"/>
    </row>
    <row r="297" spans="1:26" ht="15" hidden="1">
      <c r="A297" s="87"/>
      <c r="B297" s="87"/>
      <c r="C297" s="87"/>
      <c r="D297" s="87"/>
      <c r="E297" s="87"/>
      <c r="F297" s="87"/>
      <c r="G297" s="87"/>
      <c r="H297" s="87"/>
      <c r="I297" s="87"/>
      <c r="J297" s="1220" t="s">
        <v>3956</v>
      </c>
      <c r="K297" s="1236">
        <f>K285-K296</f>
        <v>8973.3360000000011</v>
      </c>
      <c r="L297" s="1234">
        <f>L285-L296</f>
        <v>7504.9009999999962</v>
      </c>
      <c r="M297" s="1234">
        <f>M285-M296</f>
        <v>7504.9</v>
      </c>
      <c r="N297" s="1696"/>
      <c r="O297" s="87"/>
      <c r="Y297" s="84"/>
      <c r="Z297" s="84"/>
    </row>
    <row r="298" spans="1:26" ht="15.75" hidden="1">
      <c r="A298" s="87"/>
      <c r="B298" s="87"/>
      <c r="C298" s="87"/>
      <c r="D298" s="87"/>
      <c r="E298" s="87"/>
      <c r="F298" s="87"/>
      <c r="G298" s="87"/>
      <c r="H298" s="87"/>
      <c r="I298" s="87"/>
      <c r="J298" s="582"/>
      <c r="K298" s="1234">
        <f>K297-K284</f>
        <v>1468.4360000000006</v>
      </c>
      <c r="L298" s="1247">
        <f>L297-L284</f>
        <v>9.999999956562533E-4</v>
      </c>
      <c r="M298" s="1247">
        <f>M297-M284</f>
        <v>0</v>
      </c>
      <c r="N298" s="1696"/>
      <c r="O298" s="87"/>
      <c r="Y298" s="84"/>
      <c r="Z298" s="84"/>
    </row>
    <row r="299" spans="1:26" ht="15" hidden="1">
      <c r="A299" s="87"/>
      <c r="B299" s="87"/>
      <c r="C299" s="87"/>
      <c r="D299" s="87"/>
      <c r="E299" s="87"/>
      <c r="F299" s="87"/>
      <c r="G299" s="87"/>
      <c r="H299" s="87"/>
      <c r="I299" s="87"/>
      <c r="J299" s="587" t="s">
        <v>246</v>
      </c>
      <c r="K299" s="1235">
        <f>K281-K298</f>
        <v>557.47399999999948</v>
      </c>
      <c r="L299" s="1234"/>
      <c r="M299" s="1233"/>
      <c r="N299" s="1696"/>
      <c r="O299" s="87"/>
      <c r="Y299" s="84"/>
      <c r="Z299" s="84"/>
    </row>
    <row r="300" spans="1:26" ht="15" hidden="1">
      <c r="A300" s="87"/>
      <c r="B300" s="87"/>
      <c r="C300" s="87"/>
      <c r="D300" s="87"/>
      <c r="E300" s="87"/>
      <c r="F300" s="87"/>
      <c r="G300" s="87"/>
      <c r="H300" s="87"/>
      <c r="I300" s="87"/>
      <c r="J300" s="582"/>
      <c r="K300" s="1233"/>
      <c r="L300" s="1234"/>
      <c r="M300" s="1233"/>
      <c r="N300" s="1697"/>
      <c r="O300" s="87"/>
      <c r="Y300" s="84"/>
      <c r="Z300" s="84"/>
    </row>
    <row r="301" spans="1:26" ht="15" hidden="1">
      <c r="A301" s="87"/>
      <c r="B301" s="87"/>
      <c r="C301" s="87"/>
      <c r="D301" s="87"/>
      <c r="E301" s="87"/>
      <c r="F301" s="87"/>
      <c r="G301" s="87"/>
      <c r="H301" s="87"/>
      <c r="I301" s="87"/>
      <c r="J301" s="582"/>
      <c r="K301" s="1233"/>
      <c r="L301" s="1233"/>
      <c r="M301" s="1233"/>
      <c r="N301" s="1696"/>
      <c r="O301" s="87"/>
      <c r="Y301" s="84"/>
      <c r="Z301" s="84"/>
    </row>
    <row r="302" spans="1:26" hidden="1">
      <c r="A302" s="87"/>
      <c r="B302" s="87"/>
      <c r="C302" s="87"/>
      <c r="D302" s="87"/>
      <c r="E302" s="87"/>
      <c r="F302" s="87"/>
      <c r="G302" s="87"/>
      <c r="H302" s="87"/>
      <c r="I302" s="87"/>
      <c r="J302" s="582"/>
      <c r="K302" s="87"/>
      <c r="L302" s="87"/>
      <c r="M302" s="87"/>
      <c r="N302" s="125"/>
      <c r="O302" s="87"/>
      <c r="Y302" s="84"/>
      <c r="Z302" s="84"/>
    </row>
    <row r="303" spans="1:26">
      <c r="A303" s="87"/>
      <c r="B303" s="87"/>
      <c r="C303" s="87"/>
      <c r="D303" s="87"/>
      <c r="E303" s="87"/>
      <c r="F303" s="87"/>
      <c r="G303" s="87"/>
      <c r="H303" s="87"/>
      <c r="I303" s="87"/>
      <c r="J303" s="582"/>
      <c r="K303" s="87"/>
      <c r="L303" s="87"/>
      <c r="M303" s="87"/>
      <c r="N303" s="125"/>
      <c r="O303" s="87"/>
      <c r="Y303" s="84"/>
      <c r="Z303" s="84"/>
    </row>
    <row r="304" spans="1:26">
      <c r="A304" s="87"/>
      <c r="B304" s="87"/>
      <c r="C304" s="87"/>
      <c r="D304" s="87"/>
      <c r="E304" s="87"/>
      <c r="F304" s="87"/>
      <c r="G304" s="87"/>
      <c r="H304" s="87"/>
      <c r="I304" s="87"/>
      <c r="J304" s="582"/>
      <c r="K304" s="87"/>
      <c r="L304" s="87"/>
      <c r="M304" s="87"/>
      <c r="N304" s="125"/>
      <c r="O304" s="87"/>
      <c r="Y304" s="84"/>
      <c r="Z304" s="84"/>
    </row>
    <row r="305" spans="1:26">
      <c r="A305" s="87"/>
      <c r="B305" s="87"/>
      <c r="C305" s="87"/>
      <c r="D305" s="87"/>
      <c r="E305" s="87"/>
      <c r="F305" s="87"/>
      <c r="G305" s="87"/>
      <c r="H305" s="87"/>
      <c r="I305" s="87"/>
      <c r="J305" s="582"/>
      <c r="K305" s="87"/>
      <c r="L305" s="87"/>
      <c r="M305" s="87"/>
      <c r="N305" s="125"/>
      <c r="O305" s="87"/>
      <c r="Y305" s="84"/>
      <c r="Z305" s="84"/>
    </row>
    <row r="306" spans="1:26">
      <c r="A306" s="87"/>
      <c r="B306" s="87"/>
      <c r="C306" s="87"/>
      <c r="D306" s="87"/>
      <c r="E306" s="87"/>
      <c r="F306" s="87"/>
      <c r="G306" s="87"/>
      <c r="H306" s="87"/>
      <c r="I306" s="87"/>
      <c r="J306" s="582"/>
      <c r="K306" s="87"/>
      <c r="L306" s="87"/>
      <c r="M306" s="87"/>
      <c r="N306" s="125"/>
      <c r="O306" s="87"/>
      <c r="Y306" s="84"/>
      <c r="Z306" s="84"/>
    </row>
    <row r="307" spans="1:26">
      <c r="A307" s="87"/>
      <c r="B307" s="87"/>
      <c r="C307" s="87"/>
      <c r="D307" s="87"/>
      <c r="E307" s="87"/>
      <c r="F307" s="87"/>
      <c r="G307" s="87"/>
      <c r="H307" s="87"/>
      <c r="I307" s="87"/>
      <c r="J307" s="582"/>
      <c r="K307" s="87"/>
      <c r="L307" s="87"/>
      <c r="M307" s="87"/>
      <c r="N307" s="125"/>
      <c r="O307" s="87"/>
      <c r="Y307" s="84"/>
      <c r="Z307" s="84"/>
    </row>
    <row r="308" spans="1:26">
      <c r="A308" s="87"/>
      <c r="B308" s="87"/>
      <c r="C308" s="87"/>
      <c r="D308" s="87"/>
      <c r="E308" s="87"/>
      <c r="F308" s="87"/>
      <c r="G308" s="87"/>
      <c r="H308" s="87"/>
      <c r="I308" s="87"/>
      <c r="J308" s="582"/>
      <c r="K308" s="87"/>
      <c r="L308" s="87"/>
      <c r="M308" s="87"/>
      <c r="N308" s="125"/>
      <c r="O308" s="87"/>
      <c r="Y308" s="84"/>
      <c r="Z308" s="84"/>
    </row>
    <row r="309" spans="1:26">
      <c r="A309" s="87"/>
      <c r="B309" s="87"/>
      <c r="C309" s="87"/>
      <c r="D309" s="87"/>
      <c r="E309" s="87"/>
      <c r="F309" s="87"/>
      <c r="G309" s="87"/>
      <c r="H309" s="87"/>
      <c r="I309" s="87"/>
      <c r="J309" s="582"/>
      <c r="K309" s="87"/>
      <c r="L309" s="87"/>
      <c r="M309" s="87"/>
      <c r="N309" s="125"/>
      <c r="O309" s="87"/>
      <c r="Y309" s="84"/>
      <c r="Z309" s="84"/>
    </row>
    <row r="310" spans="1:26">
      <c r="A310" s="87"/>
      <c r="B310" s="87"/>
      <c r="C310" s="87"/>
      <c r="D310" s="87"/>
      <c r="E310" s="87"/>
      <c r="F310" s="87"/>
      <c r="G310" s="87"/>
      <c r="H310" s="87"/>
      <c r="I310" s="87"/>
      <c r="J310" s="582"/>
      <c r="K310" s="87"/>
      <c r="L310" s="87"/>
      <c r="M310" s="87"/>
      <c r="N310" s="125"/>
      <c r="O310" s="87"/>
      <c r="Y310" s="84"/>
      <c r="Z310" s="84"/>
    </row>
    <row r="311" spans="1:26">
      <c r="A311" s="87"/>
      <c r="B311" s="87"/>
      <c r="C311" s="87"/>
      <c r="D311" s="87"/>
      <c r="E311" s="87"/>
      <c r="F311" s="87"/>
      <c r="G311" s="87"/>
      <c r="H311" s="87"/>
      <c r="I311" s="87"/>
      <c r="J311" s="582"/>
      <c r="K311" s="87"/>
      <c r="L311" s="87"/>
      <c r="M311" s="87"/>
      <c r="N311" s="125"/>
      <c r="O311" s="87"/>
      <c r="Y311" s="84"/>
      <c r="Z311" s="84"/>
    </row>
    <row r="312" spans="1:26">
      <c r="A312" s="87"/>
      <c r="B312" s="87"/>
      <c r="C312" s="87"/>
      <c r="D312" s="87"/>
      <c r="E312" s="87"/>
      <c r="F312" s="87"/>
      <c r="G312" s="87"/>
      <c r="H312" s="87"/>
      <c r="I312" s="87"/>
      <c r="J312" s="582"/>
      <c r="K312" s="87"/>
      <c r="L312" s="87"/>
      <c r="M312" s="87"/>
      <c r="N312" s="125"/>
      <c r="O312" s="87"/>
      <c r="Y312" s="84"/>
      <c r="Z312" s="84"/>
    </row>
    <row r="313" spans="1:26">
      <c r="A313" s="87"/>
      <c r="B313" s="87"/>
      <c r="C313" s="87"/>
      <c r="D313" s="87"/>
      <c r="E313" s="87"/>
      <c r="F313" s="87"/>
      <c r="G313" s="87"/>
      <c r="H313" s="87"/>
      <c r="I313" s="87"/>
      <c r="J313" s="582"/>
      <c r="K313" s="87"/>
      <c r="L313" s="87"/>
      <c r="M313" s="87"/>
      <c r="N313" s="125"/>
      <c r="O313" s="87"/>
      <c r="Y313" s="84"/>
      <c r="Z313" s="84"/>
    </row>
    <row r="314" spans="1:26">
      <c r="A314" s="87"/>
      <c r="B314" s="87"/>
      <c r="C314" s="87"/>
      <c r="D314" s="87"/>
      <c r="E314" s="87"/>
      <c r="F314" s="87"/>
      <c r="G314" s="87"/>
      <c r="H314" s="87"/>
      <c r="I314" s="87"/>
      <c r="J314" s="582"/>
      <c r="K314" s="87"/>
      <c r="L314" s="87"/>
      <c r="M314" s="87"/>
      <c r="N314" s="125"/>
      <c r="O314" s="87"/>
      <c r="Y314" s="84"/>
      <c r="Z314" s="84"/>
    </row>
    <row r="315" spans="1:26">
      <c r="A315" s="87"/>
      <c r="B315" s="87"/>
      <c r="C315" s="87"/>
      <c r="D315" s="87"/>
      <c r="E315" s="87"/>
      <c r="F315" s="87"/>
      <c r="G315" s="87"/>
      <c r="H315" s="87"/>
      <c r="I315" s="87"/>
      <c r="J315" s="582"/>
      <c r="K315" s="87"/>
      <c r="L315" s="87"/>
      <c r="M315" s="87"/>
      <c r="N315" s="125"/>
      <c r="O315" s="87"/>
      <c r="Y315" s="84"/>
      <c r="Z315" s="84"/>
    </row>
    <row r="316" spans="1:26">
      <c r="A316" s="87"/>
      <c r="B316" s="87"/>
      <c r="C316" s="87"/>
      <c r="D316" s="87"/>
      <c r="E316" s="87"/>
      <c r="F316" s="87"/>
      <c r="G316" s="87"/>
      <c r="H316" s="87"/>
      <c r="I316" s="87"/>
      <c r="J316" s="582"/>
      <c r="K316" s="87"/>
      <c r="L316" s="87"/>
      <c r="M316" s="87"/>
      <c r="N316" s="125"/>
      <c r="O316" s="87"/>
      <c r="Y316" s="84"/>
      <c r="Z316" s="84"/>
    </row>
    <row r="317" spans="1:26">
      <c r="A317" s="87"/>
      <c r="B317" s="87"/>
      <c r="C317" s="87"/>
      <c r="D317" s="87"/>
      <c r="E317" s="87"/>
      <c r="F317" s="87"/>
      <c r="G317" s="87"/>
      <c r="H317" s="87"/>
      <c r="I317" s="87"/>
      <c r="J317" s="582"/>
      <c r="K317" s="87"/>
      <c r="L317" s="87"/>
      <c r="M317" s="87"/>
      <c r="N317" s="125"/>
      <c r="O317" s="87"/>
      <c r="Y317" s="84"/>
      <c r="Z317" s="84"/>
    </row>
    <row r="318" spans="1:26">
      <c r="A318" s="87"/>
      <c r="B318" s="87"/>
      <c r="C318" s="87"/>
      <c r="D318" s="87"/>
      <c r="E318" s="87"/>
      <c r="F318" s="87"/>
      <c r="G318" s="87"/>
      <c r="H318" s="87"/>
      <c r="I318" s="87"/>
      <c r="J318" s="582"/>
      <c r="K318" s="87"/>
      <c r="L318" s="87"/>
      <c r="M318" s="87"/>
      <c r="N318" s="125"/>
      <c r="O318" s="87"/>
      <c r="Y318" s="84"/>
      <c r="Z318" s="84"/>
    </row>
    <row r="319" spans="1:26">
      <c r="A319" s="87"/>
      <c r="B319" s="87"/>
      <c r="C319" s="87"/>
      <c r="D319" s="87"/>
      <c r="E319" s="87"/>
      <c r="F319" s="87"/>
      <c r="G319" s="87"/>
      <c r="H319" s="87"/>
      <c r="I319" s="87"/>
      <c r="J319" s="582"/>
      <c r="K319" s="87"/>
      <c r="L319" s="87"/>
      <c r="M319" s="87"/>
      <c r="N319" s="125"/>
      <c r="O319" s="87"/>
      <c r="Y319" s="84"/>
      <c r="Z319" s="84"/>
    </row>
    <row r="320" spans="1:26">
      <c r="A320" s="87"/>
      <c r="B320" s="87"/>
      <c r="C320" s="87"/>
      <c r="D320" s="87"/>
      <c r="E320" s="87"/>
      <c r="F320" s="87"/>
      <c r="G320" s="87"/>
      <c r="H320" s="87"/>
      <c r="I320" s="87"/>
      <c r="J320" s="582"/>
      <c r="K320" s="87"/>
      <c r="L320" s="87"/>
      <c r="M320" s="87"/>
      <c r="N320" s="125"/>
      <c r="O320" s="87"/>
      <c r="Y320" s="84"/>
      <c r="Z320" s="84"/>
    </row>
    <row r="321" spans="1:26">
      <c r="A321" s="87"/>
      <c r="B321" s="87"/>
      <c r="C321" s="87"/>
      <c r="D321" s="87"/>
      <c r="E321" s="87"/>
      <c r="F321" s="87"/>
      <c r="G321" s="87"/>
      <c r="H321" s="87"/>
      <c r="I321" s="87"/>
      <c r="J321" s="582"/>
      <c r="K321" s="87"/>
      <c r="L321" s="87"/>
      <c r="M321" s="87"/>
      <c r="N321" s="125"/>
      <c r="O321" s="87"/>
      <c r="Y321" s="84"/>
      <c r="Z321" s="84"/>
    </row>
    <row r="322" spans="1:26">
      <c r="A322" s="87"/>
      <c r="B322" s="87"/>
      <c r="C322" s="87"/>
      <c r="D322" s="87"/>
      <c r="E322" s="87"/>
      <c r="F322" s="87"/>
      <c r="G322" s="87"/>
      <c r="H322" s="87"/>
      <c r="I322" s="87"/>
      <c r="J322" s="582"/>
      <c r="K322" s="87"/>
      <c r="L322" s="87"/>
      <c r="M322" s="87"/>
      <c r="N322" s="125"/>
      <c r="O322" s="87"/>
      <c r="Y322" s="84"/>
      <c r="Z322" s="84"/>
    </row>
    <row r="323" spans="1:26">
      <c r="A323" s="87"/>
      <c r="B323" s="87"/>
      <c r="C323" s="87"/>
      <c r="D323" s="87"/>
      <c r="E323" s="87"/>
      <c r="F323" s="87"/>
      <c r="G323" s="87"/>
      <c r="H323" s="87"/>
      <c r="I323" s="87"/>
      <c r="J323" s="582"/>
      <c r="K323" s="87"/>
      <c r="L323" s="87"/>
      <c r="M323" s="87"/>
      <c r="N323" s="125"/>
      <c r="O323" s="87"/>
      <c r="Y323" s="84"/>
      <c r="Z323" s="84"/>
    </row>
    <row r="324" spans="1:26">
      <c r="A324" s="87"/>
      <c r="B324" s="87"/>
      <c r="C324" s="87"/>
      <c r="D324" s="87"/>
      <c r="E324" s="87"/>
      <c r="F324" s="87"/>
      <c r="G324" s="87"/>
      <c r="H324" s="87"/>
      <c r="I324" s="87"/>
      <c r="J324" s="582"/>
      <c r="K324" s="87"/>
      <c r="L324" s="87"/>
      <c r="M324" s="87"/>
      <c r="N324" s="125"/>
      <c r="O324" s="87"/>
      <c r="Y324" s="84"/>
      <c r="Z324" s="84"/>
    </row>
    <row r="325" spans="1:26">
      <c r="A325" s="87"/>
      <c r="B325" s="87"/>
      <c r="C325" s="87"/>
      <c r="D325" s="87"/>
      <c r="E325" s="87"/>
      <c r="F325" s="87"/>
      <c r="G325" s="87"/>
      <c r="H325" s="87"/>
      <c r="I325" s="87"/>
      <c r="J325" s="582"/>
      <c r="K325" s="87"/>
      <c r="L325" s="87"/>
      <c r="M325" s="87"/>
      <c r="N325" s="125"/>
      <c r="O325" s="87"/>
      <c r="Y325" s="84"/>
      <c r="Z325" s="84"/>
    </row>
    <row r="326" spans="1:26">
      <c r="A326" s="87"/>
      <c r="B326" s="87"/>
      <c r="C326" s="87"/>
      <c r="D326" s="87"/>
      <c r="E326" s="87"/>
      <c r="F326" s="87"/>
      <c r="G326" s="87"/>
      <c r="H326" s="87"/>
      <c r="I326" s="87"/>
      <c r="J326" s="582"/>
      <c r="K326" s="87"/>
      <c r="L326" s="87"/>
      <c r="M326" s="87"/>
      <c r="N326" s="125"/>
      <c r="O326" s="87"/>
      <c r="Y326" s="84"/>
      <c r="Z326" s="84"/>
    </row>
    <row r="327" spans="1:26">
      <c r="A327" s="87"/>
      <c r="B327" s="87"/>
      <c r="C327" s="87"/>
      <c r="D327" s="87"/>
      <c r="E327" s="87"/>
      <c r="F327" s="87"/>
      <c r="G327" s="87"/>
      <c r="H327" s="87"/>
      <c r="I327" s="87"/>
      <c r="J327" s="582"/>
      <c r="K327" s="87"/>
      <c r="L327" s="87"/>
      <c r="M327" s="87"/>
      <c r="N327" s="125"/>
      <c r="O327" s="87"/>
      <c r="Y327" s="84"/>
      <c r="Z327" s="84"/>
    </row>
    <row r="328" spans="1:26">
      <c r="A328" s="87"/>
      <c r="B328" s="87"/>
      <c r="C328" s="87"/>
      <c r="D328" s="87"/>
      <c r="E328" s="87"/>
      <c r="F328" s="87"/>
      <c r="G328" s="87"/>
      <c r="H328" s="87"/>
      <c r="I328" s="87"/>
      <c r="J328" s="582"/>
      <c r="K328" s="87"/>
      <c r="L328" s="87"/>
      <c r="M328" s="87"/>
      <c r="N328" s="125"/>
      <c r="O328" s="87"/>
      <c r="Y328" s="84"/>
      <c r="Z328" s="84"/>
    </row>
    <row r="329" spans="1:26">
      <c r="A329" s="87"/>
      <c r="B329" s="87"/>
      <c r="C329" s="87"/>
      <c r="D329" s="87"/>
      <c r="E329" s="87"/>
      <c r="F329" s="87"/>
      <c r="G329" s="87"/>
      <c r="H329" s="87"/>
      <c r="I329" s="87"/>
      <c r="J329" s="582"/>
      <c r="K329" s="87"/>
      <c r="L329" s="87"/>
      <c r="M329" s="87"/>
      <c r="N329" s="125"/>
      <c r="O329" s="87"/>
      <c r="Y329" s="84"/>
      <c r="Z329" s="84"/>
    </row>
    <row r="330" spans="1:26">
      <c r="A330" s="87"/>
      <c r="B330" s="87"/>
      <c r="C330" s="87"/>
      <c r="D330" s="87"/>
      <c r="E330" s="87"/>
      <c r="F330" s="87"/>
      <c r="G330" s="87"/>
      <c r="H330" s="87"/>
      <c r="I330" s="87"/>
      <c r="J330" s="582"/>
      <c r="K330" s="87"/>
      <c r="L330" s="87"/>
      <c r="M330" s="87"/>
      <c r="N330" s="125"/>
      <c r="O330" s="87"/>
      <c r="Y330" s="84"/>
      <c r="Z330" s="84"/>
    </row>
    <row r="331" spans="1:26">
      <c r="A331" s="87"/>
      <c r="B331" s="87"/>
      <c r="C331" s="87"/>
      <c r="D331" s="87"/>
      <c r="E331" s="87"/>
      <c r="F331" s="87"/>
      <c r="G331" s="87"/>
      <c r="H331" s="87"/>
      <c r="I331" s="87"/>
      <c r="J331" s="582"/>
      <c r="K331" s="87"/>
      <c r="L331" s="87"/>
      <c r="M331" s="87"/>
      <c r="N331" s="125"/>
      <c r="O331" s="87"/>
      <c r="Y331" s="84"/>
      <c r="Z331" s="84"/>
    </row>
    <row r="332" spans="1:26">
      <c r="A332" s="87"/>
      <c r="B332" s="87"/>
      <c r="C332" s="87"/>
      <c r="D332" s="87"/>
      <c r="E332" s="87"/>
      <c r="F332" s="87"/>
      <c r="G332" s="87"/>
      <c r="H332" s="87"/>
      <c r="I332" s="87"/>
      <c r="J332" s="582"/>
      <c r="K332" s="87"/>
      <c r="L332" s="87"/>
      <c r="M332" s="87"/>
      <c r="N332" s="125"/>
      <c r="O332" s="87"/>
      <c r="Y332" s="84"/>
      <c r="Z332" s="84"/>
    </row>
    <row r="333" spans="1:26">
      <c r="A333" s="87"/>
      <c r="B333" s="87"/>
      <c r="C333" s="87"/>
      <c r="D333" s="87"/>
      <c r="E333" s="87"/>
      <c r="F333" s="87"/>
      <c r="G333" s="87"/>
      <c r="H333" s="87"/>
      <c r="I333" s="87"/>
      <c r="J333" s="582"/>
      <c r="K333" s="87"/>
      <c r="L333" s="87"/>
      <c r="M333" s="87"/>
      <c r="N333" s="125"/>
      <c r="O333" s="87"/>
      <c r="Y333" s="84"/>
      <c r="Z333" s="84"/>
    </row>
    <row r="334" spans="1:26">
      <c r="A334" s="87"/>
      <c r="B334" s="87"/>
      <c r="C334" s="87"/>
      <c r="D334" s="87"/>
      <c r="E334" s="87"/>
      <c r="F334" s="87"/>
      <c r="G334" s="87"/>
      <c r="H334" s="87"/>
      <c r="I334" s="87"/>
      <c r="J334" s="582"/>
      <c r="K334" s="87"/>
      <c r="L334" s="87"/>
      <c r="M334" s="87"/>
      <c r="N334" s="125"/>
      <c r="O334" s="87"/>
      <c r="Y334" s="84"/>
      <c r="Z334" s="84"/>
    </row>
    <row r="335" spans="1:26">
      <c r="A335" s="87"/>
      <c r="B335" s="87"/>
      <c r="C335" s="87"/>
      <c r="D335" s="87"/>
      <c r="E335" s="87"/>
      <c r="F335" s="87"/>
      <c r="G335" s="87"/>
      <c r="H335" s="87"/>
      <c r="I335" s="87"/>
      <c r="J335" s="582"/>
      <c r="K335" s="87"/>
      <c r="L335" s="87"/>
      <c r="M335" s="87"/>
      <c r="N335" s="125"/>
      <c r="O335" s="87"/>
      <c r="Y335" s="84"/>
      <c r="Z335" s="84"/>
    </row>
    <row r="336" spans="1:26">
      <c r="A336" s="87"/>
      <c r="B336" s="87"/>
      <c r="C336" s="87"/>
      <c r="D336" s="87"/>
      <c r="E336" s="87"/>
      <c r="F336" s="87"/>
      <c r="G336" s="87"/>
      <c r="H336" s="87"/>
      <c r="I336" s="87"/>
      <c r="J336" s="582"/>
      <c r="K336" s="87"/>
      <c r="L336" s="87"/>
      <c r="M336" s="87"/>
      <c r="N336" s="125"/>
      <c r="O336" s="87"/>
      <c r="Y336" s="84"/>
      <c r="Z336" s="84"/>
    </row>
    <row r="337" spans="1:26">
      <c r="A337" s="87"/>
      <c r="B337" s="87"/>
      <c r="C337" s="87"/>
      <c r="D337" s="87"/>
      <c r="E337" s="87"/>
      <c r="F337" s="87"/>
      <c r="G337" s="87"/>
      <c r="H337" s="87"/>
      <c r="I337" s="87"/>
      <c r="J337" s="582"/>
      <c r="K337" s="87"/>
      <c r="L337" s="87"/>
      <c r="M337" s="87"/>
      <c r="N337" s="125"/>
      <c r="O337" s="87"/>
      <c r="Y337" s="84"/>
      <c r="Z337" s="84"/>
    </row>
    <row r="338" spans="1:26">
      <c r="A338" s="87"/>
      <c r="B338" s="87"/>
      <c r="C338" s="87"/>
      <c r="D338" s="87"/>
      <c r="E338" s="87"/>
      <c r="F338" s="87"/>
      <c r="G338" s="87"/>
      <c r="H338" s="87"/>
      <c r="I338" s="87"/>
      <c r="J338" s="582"/>
      <c r="K338" s="87"/>
      <c r="L338" s="87"/>
      <c r="M338" s="87"/>
      <c r="N338" s="125"/>
      <c r="O338" s="87"/>
      <c r="Y338" s="84"/>
      <c r="Z338" s="84"/>
    </row>
    <row r="339" spans="1:26">
      <c r="E339" s="84"/>
      <c r="F339" s="84"/>
      <c r="Y339" s="84"/>
      <c r="Z339" s="84"/>
    </row>
    <row r="340" spans="1:26">
      <c r="E340" s="84"/>
      <c r="F340" s="84"/>
      <c r="Y340" s="84"/>
      <c r="Z340" s="84"/>
    </row>
    <row r="341" spans="1:26">
      <c r="E341" s="84"/>
      <c r="F341" s="84"/>
      <c r="Y341" s="84"/>
      <c r="Z341" s="84"/>
    </row>
    <row r="342" spans="1:26">
      <c r="E342" s="84"/>
      <c r="F342" s="84"/>
      <c r="Y342" s="84"/>
      <c r="Z342" s="84"/>
    </row>
    <row r="343" spans="1:26">
      <c r="E343" s="84"/>
      <c r="F343" s="84"/>
      <c r="Y343" s="84"/>
      <c r="Z343" s="84"/>
    </row>
    <row r="344" spans="1:26">
      <c r="E344" s="84"/>
      <c r="F344" s="84"/>
      <c r="Y344" s="84"/>
      <c r="Z344" s="84"/>
    </row>
    <row r="345" spans="1:26">
      <c r="E345" s="84"/>
      <c r="F345" s="84"/>
      <c r="Y345" s="84"/>
      <c r="Z345" s="84"/>
    </row>
    <row r="346" spans="1:26">
      <c r="E346" s="84"/>
      <c r="F346" s="84"/>
      <c r="Y346" s="84"/>
      <c r="Z346" s="84"/>
    </row>
    <row r="347" spans="1:26">
      <c r="E347" s="84"/>
      <c r="F347" s="84"/>
      <c r="Y347" s="84"/>
      <c r="Z347" s="84"/>
    </row>
    <row r="348" spans="1:26">
      <c r="E348" s="84"/>
      <c r="F348" s="84"/>
      <c r="Y348" s="84"/>
      <c r="Z348" s="84"/>
    </row>
    <row r="349" spans="1:26">
      <c r="E349" s="84"/>
      <c r="F349" s="84"/>
      <c r="Y349" s="84"/>
      <c r="Z349" s="84"/>
    </row>
    <row r="350" spans="1:26">
      <c r="E350" s="84"/>
      <c r="F350" s="84"/>
      <c r="Y350" s="84"/>
      <c r="Z350" s="84"/>
    </row>
    <row r="351" spans="1:26">
      <c r="E351" s="84"/>
      <c r="F351" s="84"/>
      <c r="Y351" s="84"/>
      <c r="Z351" s="84"/>
    </row>
    <row r="352" spans="1:26">
      <c r="E352" s="84"/>
      <c r="F352" s="84"/>
      <c r="Y352" s="84"/>
      <c r="Z352" s="84"/>
    </row>
    <row r="353" spans="5:26">
      <c r="E353" s="84"/>
      <c r="F353" s="84"/>
      <c r="Y353" s="84"/>
      <c r="Z353" s="84"/>
    </row>
    <row r="354" spans="5:26">
      <c r="E354" s="84"/>
      <c r="F354" s="84"/>
      <c r="Y354" s="84"/>
      <c r="Z354" s="84"/>
    </row>
    <row r="355" spans="5:26">
      <c r="E355" s="84"/>
      <c r="F355" s="84"/>
      <c r="Y355" s="84"/>
      <c r="Z355" s="84"/>
    </row>
    <row r="356" spans="5:26">
      <c r="E356" s="84"/>
      <c r="F356" s="84"/>
      <c r="Y356" s="84"/>
      <c r="Z356" s="84"/>
    </row>
    <row r="357" spans="5:26">
      <c r="E357" s="84"/>
      <c r="F357" s="84"/>
      <c r="Y357" s="84"/>
      <c r="Z357" s="84"/>
    </row>
    <row r="358" spans="5:26">
      <c r="E358" s="84"/>
      <c r="F358" s="84"/>
      <c r="Y358" s="84"/>
      <c r="Z358" s="84"/>
    </row>
    <row r="359" spans="5:26">
      <c r="E359" s="84"/>
      <c r="F359" s="84"/>
      <c r="Y359" s="84"/>
      <c r="Z359" s="84"/>
    </row>
    <row r="360" spans="5:26">
      <c r="E360" s="84"/>
      <c r="F360" s="84"/>
      <c r="Y360" s="84"/>
      <c r="Z360" s="84"/>
    </row>
    <row r="361" spans="5:26">
      <c r="E361" s="84"/>
      <c r="F361" s="84"/>
      <c r="Y361" s="84"/>
      <c r="Z361" s="84"/>
    </row>
    <row r="362" spans="5:26">
      <c r="E362" s="84"/>
      <c r="F362" s="84"/>
      <c r="Y362" s="84"/>
      <c r="Z362" s="84"/>
    </row>
    <row r="363" spans="5:26">
      <c r="E363" s="84"/>
      <c r="F363" s="84"/>
      <c r="Y363" s="84"/>
      <c r="Z363" s="84"/>
    </row>
    <row r="364" spans="5:26">
      <c r="E364" s="84"/>
      <c r="F364" s="84"/>
      <c r="Y364" s="84"/>
      <c r="Z364" s="84"/>
    </row>
    <row r="365" spans="5:26">
      <c r="E365" s="84"/>
      <c r="F365" s="84"/>
      <c r="Y365" s="84"/>
      <c r="Z365" s="84"/>
    </row>
    <row r="366" spans="5:26">
      <c r="E366" s="84"/>
      <c r="F366" s="84"/>
      <c r="Y366" s="84"/>
      <c r="Z366" s="84"/>
    </row>
    <row r="367" spans="5:26">
      <c r="E367" s="84"/>
      <c r="F367" s="84"/>
      <c r="Y367" s="84"/>
      <c r="Z367" s="84"/>
    </row>
    <row r="368" spans="5:26">
      <c r="E368" s="84"/>
      <c r="F368" s="84"/>
      <c r="Y368" s="84"/>
      <c r="Z368" s="84"/>
    </row>
    <row r="369" spans="5:26">
      <c r="E369" s="84"/>
      <c r="F369" s="84"/>
      <c r="Y369" s="84"/>
      <c r="Z369" s="84"/>
    </row>
    <row r="370" spans="5:26">
      <c r="E370" s="84"/>
      <c r="F370" s="84"/>
      <c r="Y370" s="84"/>
      <c r="Z370" s="84"/>
    </row>
    <row r="371" spans="5:26">
      <c r="E371" s="84"/>
      <c r="F371" s="84"/>
      <c r="Y371" s="84"/>
      <c r="Z371" s="84"/>
    </row>
    <row r="372" spans="5:26">
      <c r="E372" s="84"/>
      <c r="F372" s="84"/>
      <c r="Y372" s="84"/>
      <c r="Z372" s="84"/>
    </row>
    <row r="373" spans="5:26">
      <c r="E373" s="84"/>
      <c r="F373" s="84"/>
      <c r="Y373" s="84"/>
      <c r="Z373" s="84"/>
    </row>
    <row r="374" spans="5:26">
      <c r="E374" s="84"/>
      <c r="F374" s="84"/>
      <c r="Y374" s="84"/>
      <c r="Z374" s="84"/>
    </row>
    <row r="375" spans="5:26">
      <c r="E375" s="84"/>
      <c r="F375" s="84"/>
      <c r="Y375" s="84"/>
      <c r="Z375" s="84"/>
    </row>
    <row r="376" spans="5:26">
      <c r="E376" s="84"/>
      <c r="F376" s="84"/>
      <c r="Y376" s="84"/>
      <c r="Z376" s="84"/>
    </row>
    <row r="377" spans="5:26">
      <c r="E377" s="84"/>
      <c r="F377" s="84"/>
      <c r="Y377" s="84"/>
      <c r="Z377" s="84"/>
    </row>
    <row r="378" spans="5:26">
      <c r="E378" s="84"/>
      <c r="F378" s="84"/>
      <c r="Y378" s="84"/>
      <c r="Z378" s="84"/>
    </row>
    <row r="379" spans="5:26">
      <c r="E379" s="84"/>
      <c r="F379" s="84"/>
      <c r="Y379" s="84"/>
      <c r="Z379" s="84"/>
    </row>
    <row r="380" spans="5:26">
      <c r="E380" s="84"/>
      <c r="F380" s="84"/>
      <c r="Y380" s="84"/>
      <c r="Z380" s="84"/>
    </row>
    <row r="381" spans="5:26">
      <c r="E381" s="84"/>
      <c r="F381" s="84"/>
      <c r="Y381" s="84"/>
      <c r="Z381" s="84"/>
    </row>
    <row r="382" spans="5:26">
      <c r="E382" s="84"/>
      <c r="F382" s="84"/>
      <c r="Y382" s="84"/>
      <c r="Z382" s="84"/>
    </row>
    <row r="383" spans="5:26">
      <c r="E383" s="84"/>
      <c r="F383" s="84"/>
      <c r="Y383" s="84"/>
      <c r="Z383" s="84"/>
    </row>
    <row r="384" spans="5:26">
      <c r="E384" s="84"/>
      <c r="F384" s="84"/>
      <c r="Y384" s="84"/>
      <c r="Z384" s="84"/>
    </row>
    <row r="385" spans="5:26">
      <c r="E385" s="84"/>
      <c r="F385" s="84"/>
      <c r="Y385" s="84"/>
      <c r="Z385" s="84"/>
    </row>
    <row r="386" spans="5:26">
      <c r="E386" s="84"/>
      <c r="F386" s="84"/>
      <c r="Y386" s="84"/>
      <c r="Z386" s="84"/>
    </row>
    <row r="387" spans="5:26">
      <c r="E387" s="84"/>
      <c r="F387" s="84"/>
      <c r="Y387" s="84"/>
      <c r="Z387" s="84"/>
    </row>
    <row r="388" spans="5:26">
      <c r="E388" s="84"/>
      <c r="F388" s="84"/>
      <c r="Y388" s="84"/>
      <c r="Z388" s="84"/>
    </row>
    <row r="389" spans="5:26">
      <c r="E389" s="84"/>
      <c r="F389" s="84"/>
      <c r="Y389" s="84"/>
      <c r="Z389" s="84"/>
    </row>
    <row r="390" spans="5:26">
      <c r="E390" s="84"/>
      <c r="F390" s="84"/>
      <c r="Y390" s="84"/>
      <c r="Z390" s="84"/>
    </row>
    <row r="391" spans="5:26">
      <c r="E391" s="84"/>
      <c r="F391" s="84"/>
      <c r="Y391" s="84"/>
      <c r="Z391" s="84"/>
    </row>
    <row r="392" spans="5:26">
      <c r="E392" s="84"/>
      <c r="F392" s="84"/>
      <c r="Y392" s="84"/>
      <c r="Z392" s="84"/>
    </row>
    <row r="393" spans="5:26">
      <c r="E393" s="84"/>
      <c r="F393" s="84"/>
      <c r="Y393" s="84"/>
      <c r="Z393" s="84"/>
    </row>
    <row r="394" spans="5:26">
      <c r="E394" s="84"/>
      <c r="F394" s="84"/>
      <c r="Y394" s="84"/>
      <c r="Z394" s="84"/>
    </row>
    <row r="395" spans="5:26">
      <c r="E395" s="84"/>
      <c r="F395" s="84"/>
      <c r="Y395" s="84"/>
      <c r="Z395" s="84"/>
    </row>
    <row r="396" spans="5:26">
      <c r="E396" s="84"/>
      <c r="F396" s="84"/>
      <c r="Y396" s="84"/>
      <c r="Z396" s="84"/>
    </row>
    <row r="397" spans="5:26">
      <c r="E397" s="84"/>
      <c r="F397" s="84"/>
      <c r="Y397" s="84"/>
      <c r="Z397" s="84"/>
    </row>
    <row r="398" spans="5:26">
      <c r="E398" s="84"/>
      <c r="F398" s="84"/>
      <c r="Y398" s="84"/>
      <c r="Z398" s="84"/>
    </row>
    <row r="399" spans="5:26">
      <c r="E399" s="84"/>
      <c r="F399" s="84"/>
      <c r="Y399" s="84"/>
      <c r="Z399" s="84"/>
    </row>
    <row r="400" spans="5:26">
      <c r="E400" s="84"/>
      <c r="F400" s="84"/>
      <c r="Y400" s="84"/>
      <c r="Z400" s="84"/>
    </row>
    <row r="401" spans="5:26">
      <c r="E401" s="84"/>
      <c r="F401" s="84"/>
      <c r="Y401" s="84"/>
      <c r="Z401" s="84"/>
    </row>
    <row r="402" spans="5:26">
      <c r="E402" s="84"/>
      <c r="F402" s="84"/>
      <c r="Y402" s="84"/>
      <c r="Z402" s="84"/>
    </row>
    <row r="403" spans="5:26">
      <c r="E403" s="84"/>
      <c r="F403" s="84"/>
      <c r="Y403" s="84"/>
      <c r="Z403" s="84"/>
    </row>
    <row r="404" spans="5:26">
      <c r="E404" s="84"/>
      <c r="F404" s="84"/>
      <c r="Y404" s="84"/>
      <c r="Z404" s="84"/>
    </row>
    <row r="405" spans="5:26">
      <c r="E405" s="84"/>
      <c r="F405" s="84"/>
      <c r="Y405" s="84"/>
      <c r="Z405" s="84"/>
    </row>
    <row r="406" spans="5:26">
      <c r="E406" s="84"/>
      <c r="F406" s="84"/>
      <c r="Y406" s="84"/>
      <c r="Z406" s="84"/>
    </row>
    <row r="407" spans="5:26">
      <c r="E407" s="84"/>
      <c r="F407" s="84"/>
      <c r="Y407" s="84"/>
      <c r="Z407" s="84"/>
    </row>
    <row r="408" spans="5:26">
      <c r="E408" s="84"/>
      <c r="F408" s="84"/>
      <c r="Y408" s="84"/>
      <c r="Z408" s="84"/>
    </row>
    <row r="409" spans="5:26">
      <c r="E409" s="84"/>
      <c r="F409" s="84"/>
      <c r="Y409" s="84"/>
      <c r="Z409" s="84"/>
    </row>
    <row r="410" spans="5:26">
      <c r="E410" s="84"/>
      <c r="F410" s="84"/>
      <c r="Y410" s="84"/>
      <c r="Z410" s="84"/>
    </row>
    <row r="411" spans="5:26">
      <c r="E411" s="84"/>
      <c r="F411" s="84"/>
      <c r="Y411" s="84"/>
      <c r="Z411" s="84"/>
    </row>
    <row r="412" spans="5:26">
      <c r="E412" s="84"/>
      <c r="F412" s="84"/>
      <c r="Y412" s="84"/>
      <c r="Z412" s="84"/>
    </row>
    <row r="413" spans="5:26">
      <c r="E413" s="84"/>
      <c r="F413" s="84"/>
      <c r="Y413" s="84"/>
      <c r="Z413" s="84"/>
    </row>
    <row r="414" spans="5:26">
      <c r="E414" s="84"/>
      <c r="F414" s="84"/>
      <c r="Y414" s="84"/>
      <c r="Z414" s="84"/>
    </row>
    <row r="415" spans="5:26">
      <c r="E415" s="84"/>
      <c r="F415" s="84"/>
      <c r="Y415" s="84"/>
      <c r="Z415" s="84"/>
    </row>
    <row r="416" spans="5:26">
      <c r="E416" s="84"/>
      <c r="F416" s="84"/>
      <c r="Y416" s="84"/>
      <c r="Z416" s="84"/>
    </row>
    <row r="417" spans="5:26">
      <c r="E417" s="84"/>
      <c r="F417" s="84"/>
      <c r="Y417" s="84"/>
      <c r="Z417" s="84"/>
    </row>
    <row r="418" spans="5:26">
      <c r="E418" s="84"/>
      <c r="F418" s="84"/>
      <c r="Y418" s="84"/>
      <c r="Z418" s="84"/>
    </row>
    <row r="419" spans="5:26">
      <c r="E419" s="84"/>
      <c r="F419" s="84"/>
      <c r="Y419" s="84"/>
      <c r="Z419" s="84"/>
    </row>
    <row r="420" spans="5:26">
      <c r="E420" s="84"/>
      <c r="F420" s="84"/>
      <c r="Y420" s="84"/>
      <c r="Z420" s="84"/>
    </row>
    <row r="421" spans="5:26">
      <c r="E421" s="84"/>
      <c r="F421" s="84"/>
      <c r="Y421" s="84"/>
      <c r="Z421" s="84"/>
    </row>
    <row r="422" spans="5:26">
      <c r="E422" s="84"/>
      <c r="F422" s="84"/>
      <c r="Y422" s="84"/>
      <c r="Z422" s="84"/>
    </row>
    <row r="423" spans="5:26">
      <c r="E423" s="84"/>
      <c r="F423" s="84"/>
      <c r="Y423" s="84"/>
      <c r="Z423" s="84"/>
    </row>
    <row r="424" spans="5:26">
      <c r="E424" s="84"/>
      <c r="F424" s="84"/>
      <c r="Y424" s="84"/>
      <c r="Z424" s="84"/>
    </row>
    <row r="425" spans="5:26">
      <c r="E425" s="84"/>
      <c r="F425" s="84"/>
      <c r="Y425" s="84"/>
      <c r="Z425" s="84"/>
    </row>
    <row r="426" spans="5:26">
      <c r="E426" s="84"/>
      <c r="F426" s="84"/>
      <c r="Y426" s="84"/>
      <c r="Z426" s="84"/>
    </row>
    <row r="427" spans="5:26">
      <c r="E427" s="84"/>
      <c r="F427" s="84"/>
      <c r="Y427" s="84"/>
      <c r="Z427" s="84"/>
    </row>
    <row r="428" spans="5:26">
      <c r="E428" s="84"/>
      <c r="F428" s="84"/>
      <c r="Y428" s="84"/>
      <c r="Z428" s="84"/>
    </row>
    <row r="429" spans="5:26">
      <c r="E429" s="84"/>
      <c r="F429" s="84"/>
      <c r="Y429" s="84"/>
      <c r="Z429" s="84"/>
    </row>
    <row r="430" spans="5:26">
      <c r="E430" s="84"/>
      <c r="F430" s="84"/>
      <c r="Y430" s="84"/>
      <c r="Z430" s="84"/>
    </row>
    <row r="431" spans="5:26">
      <c r="E431" s="84"/>
      <c r="F431" s="84"/>
      <c r="Y431" s="84"/>
      <c r="Z431" s="84"/>
    </row>
    <row r="432" spans="5:26">
      <c r="E432" s="84"/>
      <c r="F432" s="84"/>
      <c r="Y432" s="84"/>
      <c r="Z432" s="84"/>
    </row>
    <row r="433" spans="5:26">
      <c r="E433" s="84"/>
      <c r="F433" s="84"/>
      <c r="Y433" s="84"/>
      <c r="Z433" s="84"/>
    </row>
    <row r="434" spans="5:26">
      <c r="E434" s="84"/>
      <c r="F434" s="84"/>
      <c r="Y434" s="84"/>
      <c r="Z434" s="84"/>
    </row>
    <row r="435" spans="5:26">
      <c r="E435" s="84"/>
      <c r="F435" s="84"/>
      <c r="Y435" s="84"/>
      <c r="Z435" s="84"/>
    </row>
    <row r="436" spans="5:26">
      <c r="E436" s="84"/>
      <c r="F436" s="84"/>
      <c r="Y436" s="84"/>
      <c r="Z436" s="84"/>
    </row>
    <row r="437" spans="5:26">
      <c r="E437" s="84"/>
      <c r="F437" s="84"/>
      <c r="Y437" s="84"/>
      <c r="Z437" s="84"/>
    </row>
    <row r="438" spans="5:26">
      <c r="E438" s="84"/>
      <c r="F438" s="84"/>
      <c r="Y438" s="84"/>
      <c r="Z438" s="84"/>
    </row>
    <row r="439" spans="5:26">
      <c r="E439" s="84"/>
      <c r="F439" s="84"/>
      <c r="Y439" s="84"/>
      <c r="Z439" s="84"/>
    </row>
    <row r="440" spans="5:26">
      <c r="E440" s="84"/>
      <c r="F440" s="84"/>
      <c r="Y440" s="84"/>
      <c r="Z440" s="84"/>
    </row>
    <row r="441" spans="5:26">
      <c r="E441" s="84"/>
      <c r="F441" s="84"/>
      <c r="Y441" s="84"/>
      <c r="Z441" s="84"/>
    </row>
    <row r="442" spans="5:26">
      <c r="E442" s="84"/>
      <c r="F442" s="84"/>
      <c r="Y442" s="84"/>
      <c r="Z442" s="84"/>
    </row>
    <row r="443" spans="5:26">
      <c r="E443" s="84"/>
      <c r="F443" s="84"/>
      <c r="Y443" s="84"/>
      <c r="Z443" s="84"/>
    </row>
    <row r="444" spans="5:26">
      <c r="E444" s="84"/>
      <c r="F444" s="84"/>
      <c r="Y444" s="84"/>
      <c r="Z444" s="84"/>
    </row>
    <row r="445" spans="5:26">
      <c r="E445" s="84"/>
      <c r="F445" s="84"/>
      <c r="Y445" s="84"/>
      <c r="Z445" s="84"/>
    </row>
    <row r="446" spans="5:26">
      <c r="E446" s="84"/>
      <c r="F446" s="84"/>
      <c r="Y446" s="84"/>
      <c r="Z446" s="84"/>
    </row>
    <row r="447" spans="5:26">
      <c r="E447" s="84"/>
      <c r="F447" s="84"/>
      <c r="Y447" s="84"/>
      <c r="Z447" s="84"/>
    </row>
    <row r="448" spans="5:26">
      <c r="E448" s="84"/>
      <c r="F448" s="84"/>
      <c r="Y448" s="84"/>
      <c r="Z448" s="84"/>
    </row>
    <row r="449" spans="5:26">
      <c r="E449" s="84"/>
      <c r="F449" s="84"/>
      <c r="Y449" s="84"/>
      <c r="Z449" s="84"/>
    </row>
    <row r="450" spans="5:26">
      <c r="E450" s="84"/>
      <c r="F450" s="84"/>
      <c r="Y450" s="84"/>
      <c r="Z450" s="84"/>
    </row>
    <row r="451" spans="5:26">
      <c r="E451" s="84"/>
      <c r="F451" s="84"/>
      <c r="Y451" s="84"/>
      <c r="Z451" s="84"/>
    </row>
    <row r="452" spans="5:26">
      <c r="E452" s="84"/>
      <c r="F452" s="84"/>
      <c r="Y452" s="84"/>
      <c r="Z452" s="84"/>
    </row>
    <row r="453" spans="5:26">
      <c r="E453" s="84"/>
      <c r="F453" s="84"/>
      <c r="Y453" s="84"/>
      <c r="Z453" s="84"/>
    </row>
    <row r="454" spans="5:26">
      <c r="E454" s="84"/>
      <c r="F454" s="84"/>
      <c r="Y454" s="84"/>
      <c r="Z454" s="84"/>
    </row>
    <row r="455" spans="5:26">
      <c r="E455" s="84"/>
      <c r="F455" s="84"/>
      <c r="Y455" s="84"/>
      <c r="Z455" s="84"/>
    </row>
    <row r="456" spans="5:26">
      <c r="E456" s="84"/>
      <c r="F456" s="84"/>
      <c r="Y456" s="84"/>
      <c r="Z456" s="84"/>
    </row>
    <row r="457" spans="5:26">
      <c r="E457" s="84"/>
      <c r="F457" s="84"/>
      <c r="Y457" s="84"/>
      <c r="Z457" s="84"/>
    </row>
    <row r="458" spans="5:26">
      <c r="E458" s="84"/>
      <c r="F458" s="84"/>
      <c r="Y458" s="84"/>
      <c r="Z458" s="84"/>
    </row>
    <row r="459" spans="5:26">
      <c r="E459" s="84"/>
      <c r="F459" s="84"/>
      <c r="Y459" s="84"/>
      <c r="Z459" s="84"/>
    </row>
    <row r="460" spans="5:26">
      <c r="E460" s="84"/>
      <c r="F460" s="84"/>
      <c r="Y460" s="84"/>
      <c r="Z460" s="84"/>
    </row>
    <row r="461" spans="5:26">
      <c r="E461" s="84"/>
      <c r="F461" s="84"/>
      <c r="Y461" s="84"/>
      <c r="Z461" s="84"/>
    </row>
    <row r="462" spans="5:26">
      <c r="E462" s="84"/>
      <c r="F462" s="84"/>
      <c r="Y462" s="84"/>
      <c r="Z462" s="84"/>
    </row>
    <row r="463" spans="5:26">
      <c r="E463" s="84"/>
      <c r="F463" s="84"/>
      <c r="Y463" s="84"/>
      <c r="Z463" s="84"/>
    </row>
    <row r="464" spans="5:26">
      <c r="E464" s="84"/>
      <c r="F464" s="84"/>
      <c r="Y464" s="84"/>
      <c r="Z464" s="84"/>
    </row>
    <row r="465" spans="5:26">
      <c r="E465" s="84"/>
      <c r="F465" s="84"/>
      <c r="Y465" s="84"/>
      <c r="Z465" s="84"/>
    </row>
    <row r="466" spans="5:26">
      <c r="E466" s="84"/>
      <c r="F466" s="84"/>
      <c r="Y466" s="84"/>
      <c r="Z466" s="84"/>
    </row>
    <row r="467" spans="5:26">
      <c r="E467" s="84"/>
      <c r="F467" s="84"/>
      <c r="Y467" s="84"/>
      <c r="Z467" s="84"/>
    </row>
    <row r="468" spans="5:26">
      <c r="E468" s="84"/>
      <c r="F468" s="84"/>
      <c r="Y468" s="84"/>
      <c r="Z468" s="84"/>
    </row>
    <row r="469" spans="5:26">
      <c r="E469" s="84"/>
      <c r="F469" s="84"/>
      <c r="Y469" s="84"/>
      <c r="Z469" s="84"/>
    </row>
    <row r="470" spans="5:26">
      <c r="E470" s="84"/>
      <c r="F470" s="84"/>
      <c r="Y470" s="84"/>
      <c r="Z470" s="84"/>
    </row>
    <row r="471" spans="5:26">
      <c r="E471" s="84"/>
      <c r="F471" s="84"/>
      <c r="Y471" s="84"/>
      <c r="Z471" s="84"/>
    </row>
    <row r="472" spans="5:26">
      <c r="E472" s="84"/>
      <c r="F472" s="84"/>
      <c r="Y472" s="84"/>
      <c r="Z472" s="84"/>
    </row>
    <row r="473" spans="5:26">
      <c r="E473" s="84"/>
      <c r="F473" s="84"/>
      <c r="Y473" s="84"/>
      <c r="Z473" s="84"/>
    </row>
    <row r="474" spans="5:26">
      <c r="E474" s="84"/>
      <c r="F474" s="84"/>
      <c r="Y474" s="84"/>
      <c r="Z474" s="84"/>
    </row>
    <row r="475" spans="5:26">
      <c r="E475" s="84"/>
      <c r="F475" s="84"/>
      <c r="Y475" s="84"/>
      <c r="Z475" s="84"/>
    </row>
    <row r="476" spans="5:26">
      <c r="E476" s="84"/>
      <c r="F476" s="84"/>
      <c r="Y476" s="84"/>
      <c r="Z476" s="84"/>
    </row>
    <row r="477" spans="5:26">
      <c r="E477" s="84"/>
      <c r="F477" s="84"/>
      <c r="Y477" s="84"/>
      <c r="Z477" s="84"/>
    </row>
    <row r="478" spans="5:26">
      <c r="E478" s="84"/>
      <c r="F478" s="84"/>
      <c r="Y478" s="84"/>
      <c r="Z478" s="84"/>
    </row>
    <row r="479" spans="5:26">
      <c r="E479" s="84"/>
      <c r="F479" s="84"/>
      <c r="Y479" s="84"/>
      <c r="Z479" s="84"/>
    </row>
    <row r="480" spans="5:26">
      <c r="E480" s="84"/>
      <c r="F480" s="84"/>
      <c r="Y480" s="84"/>
      <c r="Z480" s="84"/>
    </row>
    <row r="481" spans="5:26">
      <c r="E481" s="84"/>
      <c r="F481" s="84"/>
      <c r="Y481" s="84"/>
      <c r="Z481" s="84"/>
    </row>
    <row r="482" spans="5:26">
      <c r="E482" s="84"/>
      <c r="F482" s="84"/>
      <c r="Y482" s="84"/>
      <c r="Z482" s="84"/>
    </row>
    <row r="483" spans="5:26">
      <c r="E483" s="84"/>
      <c r="F483" s="84"/>
      <c r="Y483" s="84"/>
      <c r="Z483" s="84"/>
    </row>
    <row r="484" spans="5:26">
      <c r="E484" s="84"/>
      <c r="F484" s="84"/>
      <c r="Y484" s="84"/>
      <c r="Z484" s="84"/>
    </row>
    <row r="485" spans="5:26">
      <c r="E485" s="84"/>
      <c r="F485" s="84"/>
      <c r="Y485" s="84"/>
      <c r="Z485" s="84"/>
    </row>
    <row r="486" spans="5:26">
      <c r="E486" s="84"/>
      <c r="F486" s="84"/>
      <c r="Y486" s="84"/>
      <c r="Z486" s="84"/>
    </row>
    <row r="487" spans="5:26">
      <c r="E487" s="84"/>
      <c r="F487" s="84"/>
      <c r="Y487" s="84"/>
      <c r="Z487" s="84"/>
    </row>
    <row r="488" spans="5:26">
      <c r="E488" s="84"/>
      <c r="F488" s="84"/>
      <c r="Y488" s="84"/>
      <c r="Z488" s="84"/>
    </row>
    <row r="489" spans="5:26">
      <c r="E489" s="84"/>
      <c r="F489" s="84"/>
      <c r="Y489" s="84"/>
      <c r="Z489" s="84"/>
    </row>
    <row r="490" spans="5:26">
      <c r="E490" s="84"/>
      <c r="F490" s="84"/>
      <c r="Y490" s="84"/>
      <c r="Z490" s="84"/>
    </row>
    <row r="491" spans="5:26">
      <c r="E491" s="84"/>
      <c r="F491" s="84"/>
      <c r="Y491" s="84"/>
      <c r="Z491" s="84"/>
    </row>
    <row r="492" spans="5:26">
      <c r="E492" s="84"/>
      <c r="F492" s="84"/>
      <c r="Y492" s="84"/>
      <c r="Z492" s="84"/>
    </row>
    <row r="493" spans="5:26">
      <c r="E493" s="84"/>
      <c r="F493" s="84"/>
      <c r="Y493" s="84"/>
      <c r="Z493" s="84"/>
    </row>
    <row r="494" spans="5:26">
      <c r="E494" s="84"/>
      <c r="F494" s="84"/>
      <c r="Y494" s="84"/>
      <c r="Z494" s="84"/>
    </row>
    <row r="495" spans="5:26">
      <c r="E495" s="84"/>
      <c r="F495" s="84"/>
      <c r="Y495" s="84"/>
      <c r="Z495" s="84"/>
    </row>
    <row r="496" spans="5:26">
      <c r="E496" s="84"/>
      <c r="F496" s="84"/>
      <c r="Y496" s="84"/>
      <c r="Z496" s="84"/>
    </row>
    <row r="497" spans="5:26">
      <c r="E497" s="84"/>
      <c r="F497" s="84"/>
      <c r="Y497" s="84"/>
      <c r="Z497" s="84"/>
    </row>
    <row r="498" spans="5:26">
      <c r="E498" s="84"/>
      <c r="F498" s="84"/>
      <c r="Y498" s="84"/>
      <c r="Z498" s="84"/>
    </row>
    <row r="499" spans="5:26">
      <c r="E499" s="84"/>
      <c r="F499" s="84"/>
      <c r="Y499" s="84"/>
      <c r="Z499" s="84"/>
    </row>
    <row r="500" spans="5:26">
      <c r="E500" s="84"/>
      <c r="F500" s="84"/>
      <c r="Y500" s="84"/>
      <c r="Z500" s="84"/>
    </row>
    <row r="501" spans="5:26">
      <c r="E501" s="84"/>
      <c r="F501" s="84"/>
      <c r="Y501" s="84"/>
      <c r="Z501" s="84"/>
    </row>
    <row r="502" spans="5:26">
      <c r="E502" s="84"/>
      <c r="F502" s="84"/>
      <c r="Y502" s="84"/>
      <c r="Z502" s="84"/>
    </row>
    <row r="503" spans="5:26">
      <c r="E503" s="84"/>
      <c r="F503" s="84"/>
      <c r="Y503" s="84"/>
      <c r="Z503" s="84"/>
    </row>
    <row r="504" spans="5:26">
      <c r="E504" s="84"/>
      <c r="F504" s="84"/>
      <c r="Y504" s="84"/>
      <c r="Z504" s="84"/>
    </row>
    <row r="505" spans="5:26">
      <c r="E505" s="84"/>
      <c r="F505" s="84"/>
      <c r="Y505" s="84"/>
      <c r="Z505" s="84"/>
    </row>
    <row r="506" spans="5:26">
      <c r="E506" s="84"/>
      <c r="F506" s="84"/>
      <c r="Y506" s="84"/>
      <c r="Z506" s="84"/>
    </row>
    <row r="507" spans="5:26">
      <c r="E507" s="84"/>
      <c r="F507" s="84"/>
      <c r="Y507" s="84"/>
      <c r="Z507" s="84"/>
    </row>
    <row r="508" spans="5:26">
      <c r="E508" s="84"/>
      <c r="F508" s="84"/>
      <c r="Y508" s="84"/>
      <c r="Z508" s="84"/>
    </row>
    <row r="509" spans="5:26">
      <c r="E509" s="84"/>
      <c r="F509" s="84"/>
      <c r="Y509" s="84"/>
      <c r="Z509" s="84"/>
    </row>
    <row r="510" spans="5:26">
      <c r="E510" s="84"/>
      <c r="F510" s="84"/>
      <c r="Y510" s="84"/>
      <c r="Z510" s="84"/>
    </row>
    <row r="511" spans="5:26">
      <c r="E511" s="84"/>
      <c r="F511" s="84"/>
      <c r="Y511" s="84"/>
      <c r="Z511" s="84"/>
    </row>
    <row r="512" spans="5:26">
      <c r="E512" s="84"/>
      <c r="F512" s="84"/>
      <c r="Y512" s="84"/>
      <c r="Z512" s="84"/>
    </row>
    <row r="513" spans="5:26">
      <c r="E513" s="84"/>
      <c r="F513" s="84"/>
      <c r="Y513" s="84"/>
      <c r="Z513" s="84"/>
    </row>
    <row r="514" spans="5:26">
      <c r="E514" s="84"/>
      <c r="F514" s="84"/>
      <c r="Y514" s="84"/>
      <c r="Z514" s="84"/>
    </row>
    <row r="515" spans="5:26">
      <c r="E515" s="84"/>
      <c r="F515" s="84"/>
      <c r="Y515" s="84"/>
      <c r="Z515" s="84"/>
    </row>
    <row r="516" spans="5:26">
      <c r="E516" s="84"/>
      <c r="F516" s="84"/>
      <c r="Y516" s="84"/>
      <c r="Z516" s="84"/>
    </row>
    <row r="517" spans="5:26">
      <c r="E517" s="84"/>
      <c r="F517" s="84"/>
      <c r="Y517" s="84"/>
      <c r="Z517" s="84"/>
    </row>
    <row r="518" spans="5:26">
      <c r="E518" s="84"/>
      <c r="F518" s="84"/>
      <c r="Y518" s="84"/>
      <c r="Z518" s="84"/>
    </row>
    <row r="519" spans="5:26">
      <c r="E519" s="84"/>
      <c r="F519" s="84"/>
      <c r="Y519" s="84"/>
      <c r="Z519" s="84"/>
    </row>
    <row r="520" spans="5:26">
      <c r="E520" s="84"/>
      <c r="F520" s="84"/>
      <c r="Y520" s="84"/>
      <c r="Z520" s="84"/>
    </row>
    <row r="521" spans="5:26">
      <c r="E521" s="84"/>
      <c r="F521" s="84"/>
      <c r="Y521" s="84"/>
      <c r="Z521" s="84"/>
    </row>
    <row r="522" spans="5:26">
      <c r="E522" s="84"/>
      <c r="F522" s="84"/>
      <c r="Y522" s="84"/>
      <c r="Z522" s="84"/>
    </row>
    <row r="523" spans="5:26">
      <c r="E523" s="84"/>
      <c r="F523" s="84"/>
      <c r="Y523" s="84"/>
      <c r="Z523" s="84"/>
    </row>
    <row r="524" spans="5:26">
      <c r="E524" s="84"/>
      <c r="F524" s="84"/>
      <c r="Y524" s="84"/>
      <c r="Z524" s="84"/>
    </row>
    <row r="525" spans="5:26">
      <c r="E525" s="84"/>
      <c r="F525" s="84"/>
      <c r="Y525" s="84"/>
      <c r="Z525" s="84"/>
    </row>
    <row r="526" spans="5:26">
      <c r="E526" s="84"/>
      <c r="F526" s="84"/>
      <c r="Y526" s="84"/>
      <c r="Z526" s="84"/>
    </row>
    <row r="527" spans="5:26">
      <c r="E527" s="84"/>
      <c r="F527" s="84"/>
      <c r="Y527" s="84"/>
      <c r="Z527" s="84"/>
    </row>
    <row r="528" spans="5:26">
      <c r="E528" s="84"/>
      <c r="F528" s="84"/>
      <c r="Y528" s="84"/>
      <c r="Z528" s="84"/>
    </row>
    <row r="529" spans="5:26">
      <c r="E529" s="84"/>
      <c r="F529" s="84"/>
      <c r="Y529" s="84"/>
      <c r="Z529" s="84"/>
    </row>
    <row r="530" spans="5:26">
      <c r="E530" s="84"/>
      <c r="F530" s="84"/>
      <c r="Y530" s="84"/>
      <c r="Z530" s="84"/>
    </row>
    <row r="531" spans="5:26">
      <c r="E531" s="84"/>
      <c r="F531" s="84"/>
      <c r="Y531" s="84"/>
      <c r="Z531" s="84"/>
    </row>
    <row r="532" spans="5:26">
      <c r="E532" s="84"/>
      <c r="F532" s="84"/>
      <c r="Y532" s="84"/>
      <c r="Z532" s="84"/>
    </row>
    <row r="533" spans="5:26">
      <c r="E533" s="84"/>
      <c r="F533" s="84"/>
      <c r="Y533" s="84"/>
      <c r="Z533" s="84"/>
    </row>
    <row r="534" spans="5:26">
      <c r="E534" s="84"/>
      <c r="F534" s="84"/>
      <c r="Y534" s="84"/>
      <c r="Z534" s="84"/>
    </row>
    <row r="535" spans="5:26">
      <c r="E535" s="84"/>
      <c r="F535" s="84"/>
      <c r="Y535" s="84"/>
      <c r="Z535" s="84"/>
    </row>
    <row r="536" spans="5:26">
      <c r="E536" s="84"/>
      <c r="F536" s="84"/>
      <c r="Y536" s="84"/>
      <c r="Z536" s="84"/>
    </row>
    <row r="537" spans="5:26">
      <c r="E537" s="84"/>
      <c r="F537" s="84"/>
      <c r="Y537" s="84"/>
      <c r="Z537" s="84"/>
    </row>
    <row r="538" spans="5:26">
      <c r="E538" s="84"/>
      <c r="F538" s="84"/>
      <c r="Y538" s="84"/>
      <c r="Z538" s="84"/>
    </row>
    <row r="539" spans="5:26">
      <c r="E539" s="84"/>
      <c r="F539" s="84"/>
      <c r="Y539" s="84"/>
      <c r="Z539" s="84"/>
    </row>
    <row r="540" spans="5:26">
      <c r="E540" s="84"/>
      <c r="F540" s="84"/>
      <c r="Y540" s="84"/>
      <c r="Z540" s="84"/>
    </row>
    <row r="541" spans="5:26">
      <c r="E541" s="84"/>
      <c r="F541" s="84"/>
      <c r="Y541" s="84"/>
      <c r="Z541" s="84"/>
    </row>
    <row r="542" spans="5:26">
      <c r="E542" s="84"/>
      <c r="F542" s="84"/>
      <c r="Y542" s="84"/>
      <c r="Z542" s="84"/>
    </row>
    <row r="543" spans="5:26">
      <c r="E543" s="84"/>
      <c r="F543" s="84"/>
      <c r="Y543" s="84"/>
      <c r="Z543" s="84"/>
    </row>
    <row r="544" spans="5:26">
      <c r="E544" s="84"/>
      <c r="F544" s="84"/>
      <c r="Y544" s="84"/>
      <c r="Z544" s="84"/>
    </row>
    <row r="545" spans="5:26">
      <c r="E545" s="84"/>
      <c r="F545" s="84"/>
      <c r="Y545" s="84"/>
      <c r="Z545" s="84"/>
    </row>
    <row r="546" spans="5:26">
      <c r="E546" s="84"/>
      <c r="F546" s="84"/>
      <c r="Y546" s="84"/>
      <c r="Z546" s="84"/>
    </row>
    <row r="547" spans="5:26">
      <c r="E547" s="84"/>
      <c r="F547" s="84"/>
      <c r="Y547" s="84"/>
      <c r="Z547" s="84"/>
    </row>
    <row r="548" spans="5:26">
      <c r="E548" s="84"/>
      <c r="F548" s="84"/>
      <c r="Y548" s="84"/>
      <c r="Z548" s="84"/>
    </row>
    <row r="549" spans="5:26">
      <c r="E549" s="84"/>
      <c r="F549" s="84"/>
      <c r="Y549" s="84"/>
      <c r="Z549" s="84"/>
    </row>
    <row r="550" spans="5:26">
      <c r="E550" s="84"/>
      <c r="F550" s="84"/>
      <c r="Y550" s="84"/>
      <c r="Z550" s="84"/>
    </row>
    <row r="551" spans="5:26">
      <c r="E551" s="84"/>
      <c r="F551" s="84"/>
      <c r="Y551" s="84"/>
      <c r="Z551" s="84"/>
    </row>
    <row r="552" spans="5:26">
      <c r="E552" s="84"/>
      <c r="F552" s="84"/>
      <c r="Y552" s="84"/>
      <c r="Z552" s="84"/>
    </row>
    <row r="553" spans="5:26">
      <c r="E553" s="84"/>
      <c r="F553" s="84"/>
      <c r="Y553" s="84"/>
      <c r="Z553" s="84"/>
    </row>
    <row r="554" spans="5:26">
      <c r="E554" s="84"/>
      <c r="F554" s="84"/>
      <c r="Y554" s="84"/>
      <c r="Z554" s="84"/>
    </row>
    <row r="555" spans="5:26">
      <c r="E555" s="84"/>
      <c r="F555" s="84"/>
      <c r="Y555" s="84"/>
      <c r="Z555" s="84"/>
    </row>
    <row r="556" spans="5:26">
      <c r="E556" s="84"/>
      <c r="F556" s="84"/>
      <c r="Y556" s="84"/>
      <c r="Z556" s="84"/>
    </row>
    <row r="557" spans="5:26">
      <c r="E557" s="84"/>
      <c r="F557" s="84"/>
      <c r="Y557" s="84"/>
      <c r="Z557" s="84"/>
    </row>
    <row r="558" spans="5:26">
      <c r="E558" s="84"/>
      <c r="F558" s="84"/>
      <c r="Y558" s="84"/>
      <c r="Z558" s="84"/>
    </row>
    <row r="559" spans="5:26">
      <c r="E559" s="84"/>
      <c r="F559" s="84"/>
      <c r="Y559" s="84"/>
      <c r="Z559" s="84"/>
    </row>
    <row r="560" spans="5:26">
      <c r="E560" s="84"/>
      <c r="F560" s="84"/>
      <c r="Y560" s="84"/>
      <c r="Z560" s="84"/>
    </row>
    <row r="561" spans="5:26">
      <c r="E561" s="84"/>
      <c r="F561" s="84"/>
      <c r="Y561" s="84"/>
      <c r="Z561" s="84"/>
    </row>
    <row r="562" spans="5:26">
      <c r="E562" s="84"/>
      <c r="F562" s="84"/>
      <c r="Y562" s="84"/>
      <c r="Z562" s="84"/>
    </row>
    <row r="563" spans="5:26">
      <c r="E563" s="84"/>
      <c r="F563" s="84"/>
      <c r="Y563" s="84"/>
      <c r="Z563" s="84"/>
    </row>
    <row r="564" spans="5:26">
      <c r="E564" s="84"/>
      <c r="F564" s="84"/>
      <c r="Y564" s="84"/>
      <c r="Z564" s="84"/>
    </row>
    <row r="565" spans="5:26">
      <c r="E565" s="84"/>
      <c r="F565" s="84"/>
      <c r="Y565" s="84"/>
      <c r="Z565" s="84"/>
    </row>
    <row r="566" spans="5:26">
      <c r="E566" s="84"/>
      <c r="F566" s="84"/>
      <c r="Y566" s="84"/>
      <c r="Z566" s="84"/>
    </row>
    <row r="567" spans="5:26">
      <c r="E567" s="84"/>
      <c r="F567" s="84"/>
      <c r="Y567" s="84"/>
      <c r="Z567" s="84"/>
    </row>
    <row r="568" spans="5:26">
      <c r="E568" s="84"/>
      <c r="F568" s="84"/>
      <c r="Y568" s="84"/>
      <c r="Z568" s="84"/>
    </row>
    <row r="569" spans="5:26">
      <c r="E569" s="84"/>
      <c r="F569" s="84"/>
      <c r="Y569" s="84"/>
      <c r="Z569" s="84"/>
    </row>
    <row r="570" spans="5:26">
      <c r="E570" s="84"/>
      <c r="F570" s="84"/>
      <c r="Y570" s="84"/>
      <c r="Z570" s="84"/>
    </row>
    <row r="571" spans="5:26">
      <c r="E571" s="84"/>
      <c r="F571" s="84"/>
      <c r="Y571" s="84"/>
      <c r="Z571" s="84"/>
    </row>
    <row r="572" spans="5:26">
      <c r="E572" s="84"/>
      <c r="F572" s="84"/>
      <c r="Y572" s="84"/>
      <c r="Z572" s="84"/>
    </row>
    <row r="573" spans="5:26">
      <c r="E573" s="84"/>
      <c r="F573" s="84"/>
      <c r="Y573" s="84"/>
      <c r="Z573" s="84"/>
    </row>
    <row r="574" spans="5:26">
      <c r="E574" s="84"/>
      <c r="F574" s="84"/>
      <c r="Y574" s="84"/>
      <c r="Z574" s="84"/>
    </row>
    <row r="575" spans="5:26">
      <c r="E575" s="84"/>
      <c r="F575" s="84"/>
      <c r="Y575" s="84"/>
      <c r="Z575" s="84"/>
    </row>
    <row r="576" spans="5:26">
      <c r="E576" s="84"/>
      <c r="F576" s="84"/>
      <c r="Y576" s="84"/>
      <c r="Z576" s="84"/>
    </row>
    <row r="577" spans="5:26">
      <c r="E577" s="84"/>
      <c r="F577" s="84"/>
      <c r="Y577" s="84"/>
      <c r="Z577" s="84"/>
    </row>
    <row r="578" spans="5:26">
      <c r="E578" s="84"/>
      <c r="F578" s="84"/>
      <c r="Y578" s="84"/>
      <c r="Z578" s="84"/>
    </row>
    <row r="579" spans="5:26">
      <c r="E579" s="84"/>
      <c r="F579" s="84"/>
      <c r="Y579" s="84"/>
      <c r="Z579" s="84"/>
    </row>
    <row r="580" spans="5:26">
      <c r="E580" s="84"/>
      <c r="F580" s="84"/>
      <c r="Y580" s="84"/>
      <c r="Z580" s="84"/>
    </row>
    <row r="581" spans="5:26">
      <c r="E581" s="84"/>
      <c r="F581" s="84"/>
      <c r="Y581" s="84"/>
      <c r="Z581" s="84"/>
    </row>
    <row r="582" spans="5:26">
      <c r="E582" s="84"/>
      <c r="F582" s="84"/>
      <c r="Y582" s="84"/>
      <c r="Z582" s="84"/>
    </row>
    <row r="583" spans="5:26">
      <c r="E583" s="84"/>
      <c r="F583" s="84"/>
      <c r="Y583" s="84"/>
      <c r="Z583" s="84"/>
    </row>
    <row r="584" spans="5:26">
      <c r="E584" s="84"/>
      <c r="F584" s="84"/>
      <c r="Y584" s="84"/>
      <c r="Z584" s="84"/>
    </row>
    <row r="585" spans="5:26">
      <c r="E585" s="84"/>
      <c r="F585" s="84"/>
      <c r="Y585" s="84"/>
      <c r="Z585" s="84"/>
    </row>
    <row r="586" spans="5:26">
      <c r="E586" s="84"/>
      <c r="F586" s="84"/>
      <c r="Y586" s="84"/>
      <c r="Z586" s="84"/>
    </row>
    <row r="587" spans="5:26">
      <c r="E587" s="84"/>
      <c r="F587" s="84"/>
      <c r="Y587" s="84"/>
      <c r="Z587" s="84"/>
    </row>
    <row r="588" spans="5:26">
      <c r="E588" s="84"/>
      <c r="F588" s="84"/>
      <c r="Y588" s="84"/>
      <c r="Z588" s="84"/>
    </row>
    <row r="589" spans="5:26">
      <c r="E589" s="84"/>
      <c r="F589" s="84"/>
      <c r="Y589" s="84"/>
      <c r="Z589" s="84"/>
    </row>
    <row r="590" spans="5:26">
      <c r="E590" s="84"/>
      <c r="F590" s="84"/>
      <c r="Y590" s="84"/>
      <c r="Z590" s="84"/>
    </row>
    <row r="591" spans="5:26">
      <c r="E591" s="84"/>
      <c r="F591" s="84"/>
      <c r="Y591" s="84"/>
      <c r="Z591" s="84"/>
    </row>
    <row r="592" spans="5:26">
      <c r="E592" s="84"/>
      <c r="F592" s="84"/>
      <c r="Y592" s="84"/>
      <c r="Z592" s="84"/>
    </row>
    <row r="593" spans="5:26">
      <c r="E593" s="84"/>
      <c r="F593" s="84"/>
      <c r="Y593" s="84"/>
      <c r="Z593" s="84"/>
    </row>
    <row r="594" spans="5:26">
      <c r="E594" s="84"/>
      <c r="F594" s="84"/>
      <c r="Y594" s="84"/>
      <c r="Z594" s="84"/>
    </row>
    <row r="595" spans="5:26">
      <c r="E595" s="84"/>
      <c r="F595" s="84"/>
      <c r="Y595" s="84"/>
      <c r="Z595" s="84"/>
    </row>
    <row r="596" spans="5:26">
      <c r="E596" s="84"/>
      <c r="F596" s="84"/>
      <c r="Y596" s="84"/>
      <c r="Z596" s="84"/>
    </row>
    <row r="597" spans="5:26">
      <c r="E597" s="84"/>
      <c r="F597" s="84"/>
      <c r="Y597" s="84"/>
      <c r="Z597" s="84"/>
    </row>
    <row r="598" spans="5:26">
      <c r="E598" s="84"/>
      <c r="F598" s="84"/>
      <c r="Y598" s="84"/>
      <c r="Z598" s="84"/>
    </row>
    <row r="599" spans="5:26">
      <c r="E599" s="84"/>
      <c r="F599" s="84"/>
      <c r="Y599" s="84"/>
      <c r="Z599" s="84"/>
    </row>
    <row r="600" spans="5:26">
      <c r="E600" s="84"/>
      <c r="F600" s="84"/>
      <c r="Y600" s="84"/>
      <c r="Z600" s="84"/>
    </row>
    <row r="601" spans="5:26">
      <c r="E601" s="84"/>
      <c r="F601" s="84"/>
      <c r="Y601" s="84"/>
      <c r="Z601" s="84"/>
    </row>
    <row r="602" spans="5:26">
      <c r="E602" s="84"/>
      <c r="F602" s="84"/>
      <c r="Y602" s="84"/>
      <c r="Z602" s="84"/>
    </row>
    <row r="603" spans="5:26">
      <c r="E603" s="84"/>
      <c r="F603" s="84"/>
      <c r="Y603" s="84"/>
      <c r="Z603" s="84"/>
    </row>
    <row r="604" spans="5:26">
      <c r="E604" s="84"/>
      <c r="F604" s="84"/>
      <c r="Y604" s="84"/>
      <c r="Z604" s="84"/>
    </row>
    <row r="605" spans="5:26">
      <c r="E605" s="84"/>
      <c r="F605" s="84"/>
      <c r="Y605" s="84"/>
      <c r="Z605" s="84"/>
    </row>
    <row r="606" spans="5:26">
      <c r="E606" s="84"/>
      <c r="F606" s="84"/>
      <c r="Y606" s="84"/>
      <c r="Z606" s="84"/>
    </row>
    <row r="607" spans="5:26">
      <c r="E607" s="84"/>
      <c r="F607" s="84"/>
      <c r="Y607" s="84"/>
      <c r="Z607" s="84"/>
    </row>
    <row r="608" spans="5:26">
      <c r="E608" s="84"/>
      <c r="F608" s="84"/>
      <c r="Y608" s="84"/>
      <c r="Z608" s="84"/>
    </row>
    <row r="609" spans="5:26">
      <c r="E609" s="84"/>
      <c r="F609" s="84"/>
      <c r="Y609" s="84"/>
      <c r="Z609" s="84"/>
    </row>
    <row r="610" spans="5:26">
      <c r="E610" s="84"/>
      <c r="F610" s="84"/>
      <c r="Y610" s="84"/>
      <c r="Z610" s="84"/>
    </row>
    <row r="611" spans="5:26">
      <c r="E611" s="84"/>
      <c r="F611" s="84"/>
      <c r="Y611" s="84"/>
      <c r="Z611" s="84"/>
    </row>
    <row r="612" spans="5:26">
      <c r="E612" s="84"/>
      <c r="F612" s="84"/>
      <c r="Y612" s="84"/>
      <c r="Z612" s="84"/>
    </row>
    <row r="613" spans="5:26">
      <c r="E613" s="84"/>
      <c r="F613" s="84"/>
      <c r="Y613" s="84"/>
      <c r="Z613" s="84"/>
    </row>
    <row r="614" spans="5:26">
      <c r="E614" s="84"/>
      <c r="F614" s="84"/>
      <c r="Y614" s="84"/>
      <c r="Z614" s="84"/>
    </row>
    <row r="615" spans="5:26">
      <c r="E615" s="84"/>
      <c r="F615" s="84"/>
      <c r="Y615" s="84"/>
      <c r="Z615" s="84"/>
    </row>
    <row r="616" spans="5:26">
      <c r="E616" s="84"/>
      <c r="F616" s="84"/>
      <c r="Y616" s="84"/>
      <c r="Z616" s="84"/>
    </row>
    <row r="617" spans="5:26">
      <c r="E617" s="84"/>
      <c r="F617" s="84"/>
      <c r="Y617" s="84"/>
      <c r="Z617" s="84"/>
    </row>
    <row r="618" spans="5:26">
      <c r="E618" s="84"/>
      <c r="F618" s="84"/>
      <c r="Y618" s="84"/>
      <c r="Z618" s="84"/>
    </row>
    <row r="619" spans="5:26">
      <c r="E619" s="84"/>
      <c r="F619" s="84"/>
      <c r="Y619" s="84"/>
      <c r="Z619" s="84"/>
    </row>
    <row r="620" spans="5:26">
      <c r="E620" s="84"/>
      <c r="F620" s="84"/>
      <c r="Y620" s="84"/>
      <c r="Z620" s="84"/>
    </row>
    <row r="621" spans="5:26">
      <c r="E621" s="84"/>
      <c r="F621" s="84"/>
      <c r="Y621" s="84"/>
      <c r="Z621" s="84"/>
    </row>
    <row r="622" spans="5:26">
      <c r="E622" s="84"/>
      <c r="F622" s="84"/>
      <c r="Y622" s="84"/>
      <c r="Z622" s="84"/>
    </row>
    <row r="623" spans="5:26">
      <c r="E623" s="84"/>
      <c r="F623" s="84"/>
      <c r="Y623" s="84"/>
      <c r="Z623" s="84"/>
    </row>
    <row r="624" spans="5:26">
      <c r="E624" s="84"/>
      <c r="F624" s="84"/>
      <c r="Y624" s="84"/>
      <c r="Z624" s="84"/>
    </row>
    <row r="625" spans="5:26">
      <c r="E625" s="84"/>
      <c r="F625" s="84"/>
      <c r="Y625" s="84"/>
      <c r="Z625" s="84"/>
    </row>
    <row r="626" spans="5:26">
      <c r="E626" s="84"/>
      <c r="F626" s="84"/>
      <c r="Y626" s="84"/>
      <c r="Z626" s="84"/>
    </row>
    <row r="627" spans="5:26">
      <c r="E627" s="84"/>
      <c r="F627" s="84"/>
      <c r="Y627" s="84"/>
      <c r="Z627" s="84"/>
    </row>
    <row r="628" spans="5:26">
      <c r="E628" s="84"/>
      <c r="F628" s="84"/>
      <c r="Y628" s="84"/>
      <c r="Z628" s="84"/>
    </row>
    <row r="629" spans="5:26">
      <c r="E629" s="84"/>
      <c r="F629" s="84"/>
      <c r="Y629" s="84"/>
      <c r="Z629" s="84"/>
    </row>
    <row r="630" spans="5:26">
      <c r="E630" s="84"/>
      <c r="F630" s="84"/>
      <c r="Y630" s="84"/>
      <c r="Z630" s="84"/>
    </row>
    <row r="631" spans="5:26">
      <c r="E631" s="84"/>
      <c r="F631" s="84"/>
      <c r="Y631" s="84"/>
      <c r="Z631" s="84"/>
    </row>
    <row r="632" spans="5:26">
      <c r="E632" s="84"/>
      <c r="F632" s="84"/>
      <c r="Y632" s="84"/>
      <c r="Z632" s="84"/>
    </row>
    <row r="633" spans="5:26">
      <c r="E633" s="84"/>
      <c r="F633" s="84"/>
      <c r="Y633" s="84"/>
      <c r="Z633" s="84"/>
    </row>
    <row r="634" spans="5:26">
      <c r="E634" s="84"/>
      <c r="F634" s="84"/>
      <c r="Y634" s="84"/>
      <c r="Z634" s="84"/>
    </row>
    <row r="635" spans="5:26">
      <c r="E635" s="84"/>
      <c r="F635" s="84"/>
      <c r="Y635" s="84"/>
      <c r="Z635" s="84"/>
    </row>
    <row r="636" spans="5:26">
      <c r="E636" s="84"/>
      <c r="F636" s="84"/>
      <c r="Y636" s="84"/>
      <c r="Z636" s="84"/>
    </row>
    <row r="637" spans="5:26">
      <c r="E637" s="84"/>
      <c r="F637" s="84"/>
      <c r="Y637" s="84"/>
      <c r="Z637" s="84"/>
    </row>
    <row r="638" spans="5:26">
      <c r="E638" s="84"/>
      <c r="F638" s="84"/>
      <c r="Y638" s="84"/>
      <c r="Z638" s="84"/>
    </row>
    <row r="639" spans="5:26">
      <c r="E639" s="84"/>
      <c r="F639" s="84"/>
      <c r="Y639" s="84"/>
      <c r="Z639" s="84"/>
    </row>
    <row r="640" spans="5:26">
      <c r="E640" s="84"/>
      <c r="F640" s="84"/>
      <c r="Y640" s="84"/>
      <c r="Z640" s="84"/>
    </row>
    <row r="641" spans="5:26">
      <c r="E641" s="84"/>
      <c r="F641" s="84"/>
      <c r="Y641" s="84"/>
      <c r="Z641" s="84"/>
    </row>
    <row r="642" spans="5:26">
      <c r="E642" s="84"/>
      <c r="F642" s="84"/>
      <c r="Y642" s="84"/>
      <c r="Z642" s="84"/>
    </row>
    <row r="643" spans="5:26">
      <c r="E643" s="84"/>
      <c r="F643" s="84"/>
      <c r="Y643" s="84"/>
      <c r="Z643" s="84"/>
    </row>
    <row r="644" spans="5:26">
      <c r="E644" s="84"/>
      <c r="F644" s="84"/>
      <c r="Y644" s="84"/>
      <c r="Z644" s="84"/>
    </row>
    <row r="645" spans="5:26">
      <c r="E645" s="84"/>
      <c r="F645" s="84"/>
      <c r="Y645" s="84"/>
      <c r="Z645" s="84"/>
    </row>
    <row r="646" spans="5:26">
      <c r="E646" s="84"/>
      <c r="F646" s="84"/>
      <c r="Y646" s="84"/>
      <c r="Z646" s="84"/>
    </row>
    <row r="647" spans="5:26">
      <c r="E647" s="84"/>
      <c r="F647" s="84"/>
      <c r="Y647" s="84"/>
      <c r="Z647" s="84"/>
    </row>
    <row r="648" spans="5:26">
      <c r="E648" s="84"/>
      <c r="F648" s="84"/>
      <c r="Y648" s="84"/>
      <c r="Z648" s="84"/>
    </row>
    <row r="649" spans="5:26">
      <c r="E649" s="84"/>
      <c r="F649" s="84"/>
      <c r="Y649" s="84"/>
      <c r="Z649" s="84"/>
    </row>
    <row r="650" spans="5:26">
      <c r="E650" s="84"/>
      <c r="F650" s="84"/>
      <c r="Y650" s="84"/>
      <c r="Z650" s="84"/>
    </row>
    <row r="651" spans="5:26">
      <c r="E651" s="84"/>
      <c r="F651" s="84"/>
      <c r="Y651" s="84"/>
      <c r="Z651" s="84"/>
    </row>
    <row r="652" spans="5:26">
      <c r="E652" s="84"/>
      <c r="F652" s="84"/>
      <c r="Y652" s="84"/>
      <c r="Z652" s="84"/>
    </row>
    <row r="653" spans="5:26">
      <c r="E653" s="84"/>
      <c r="F653" s="84"/>
      <c r="Y653" s="84"/>
      <c r="Z653" s="84"/>
    </row>
    <row r="654" spans="5:26">
      <c r="E654" s="84"/>
      <c r="F654" s="84"/>
      <c r="Y654" s="84"/>
      <c r="Z654" s="84"/>
    </row>
    <row r="655" spans="5:26">
      <c r="E655" s="84"/>
      <c r="F655" s="84"/>
      <c r="Y655" s="84"/>
      <c r="Z655" s="84"/>
    </row>
    <row r="656" spans="5:26">
      <c r="E656" s="84"/>
      <c r="F656" s="84"/>
      <c r="Y656" s="84"/>
      <c r="Z656" s="84"/>
    </row>
    <row r="657" spans="5:26">
      <c r="E657" s="84"/>
      <c r="F657" s="84"/>
      <c r="Y657" s="84"/>
      <c r="Z657" s="84"/>
    </row>
    <row r="658" spans="5:26">
      <c r="E658" s="84"/>
      <c r="F658" s="84"/>
      <c r="Y658" s="84"/>
      <c r="Z658" s="84"/>
    </row>
    <row r="659" spans="5:26">
      <c r="E659" s="84"/>
      <c r="F659" s="84"/>
      <c r="Y659" s="84"/>
      <c r="Z659" s="84"/>
    </row>
    <row r="660" spans="5:26">
      <c r="E660" s="84"/>
      <c r="F660" s="84"/>
      <c r="Y660" s="84"/>
      <c r="Z660" s="84"/>
    </row>
    <row r="661" spans="5:26">
      <c r="E661" s="84"/>
      <c r="F661" s="84"/>
      <c r="Y661" s="84"/>
      <c r="Z661" s="84"/>
    </row>
    <row r="662" spans="5:26">
      <c r="E662" s="84"/>
      <c r="F662" s="84"/>
      <c r="Y662" s="84"/>
      <c r="Z662" s="84"/>
    </row>
    <row r="663" spans="5:26">
      <c r="E663" s="84"/>
      <c r="F663" s="84"/>
      <c r="Y663" s="84"/>
      <c r="Z663" s="84"/>
    </row>
    <row r="664" spans="5:26">
      <c r="E664" s="84"/>
      <c r="F664" s="84"/>
      <c r="Y664" s="84"/>
      <c r="Z664" s="84"/>
    </row>
    <row r="665" spans="5:26">
      <c r="E665" s="84"/>
      <c r="F665" s="84"/>
      <c r="Y665" s="84"/>
      <c r="Z665" s="84"/>
    </row>
    <row r="666" spans="5:26">
      <c r="E666" s="84"/>
      <c r="F666" s="84"/>
      <c r="Y666" s="84"/>
      <c r="Z666" s="84"/>
    </row>
    <row r="667" spans="5:26">
      <c r="E667" s="84"/>
      <c r="F667" s="84"/>
      <c r="Y667" s="84"/>
      <c r="Z667" s="84"/>
    </row>
    <row r="668" spans="5:26">
      <c r="E668" s="84"/>
      <c r="F668" s="84"/>
      <c r="Y668" s="84"/>
      <c r="Z668" s="84"/>
    </row>
    <row r="669" spans="5:26">
      <c r="E669" s="84"/>
      <c r="F669" s="84"/>
      <c r="Y669" s="84"/>
      <c r="Z669" s="84"/>
    </row>
    <row r="670" spans="5:26">
      <c r="E670" s="84"/>
      <c r="F670" s="84"/>
      <c r="Y670" s="84"/>
      <c r="Z670" s="84"/>
    </row>
    <row r="671" spans="5:26">
      <c r="E671" s="84"/>
      <c r="F671" s="84"/>
      <c r="Y671" s="84"/>
      <c r="Z671" s="84"/>
    </row>
    <row r="672" spans="5:26">
      <c r="E672" s="84"/>
      <c r="F672" s="84"/>
      <c r="Y672" s="84"/>
      <c r="Z672" s="84"/>
    </row>
    <row r="673" spans="5:26">
      <c r="E673" s="84"/>
      <c r="F673" s="84"/>
      <c r="Y673" s="84"/>
      <c r="Z673" s="84"/>
    </row>
    <row r="674" spans="5:26">
      <c r="E674" s="84"/>
      <c r="F674" s="84"/>
      <c r="Y674" s="84"/>
      <c r="Z674" s="84"/>
    </row>
    <row r="675" spans="5:26">
      <c r="E675" s="84"/>
      <c r="F675" s="84"/>
      <c r="Y675" s="84"/>
      <c r="Z675" s="84"/>
    </row>
    <row r="676" spans="5:26">
      <c r="E676" s="84"/>
      <c r="F676" s="84"/>
      <c r="Y676" s="84"/>
      <c r="Z676" s="84"/>
    </row>
    <row r="677" spans="5:26">
      <c r="E677" s="84"/>
      <c r="F677" s="84"/>
      <c r="Y677" s="84"/>
      <c r="Z677" s="84"/>
    </row>
    <row r="678" spans="5:26">
      <c r="E678" s="84"/>
      <c r="F678" s="84"/>
      <c r="Y678" s="84"/>
      <c r="Z678" s="84"/>
    </row>
    <row r="679" spans="5:26">
      <c r="E679" s="84"/>
      <c r="F679" s="84"/>
      <c r="Y679" s="84"/>
      <c r="Z679" s="84"/>
    </row>
    <row r="680" spans="5:26">
      <c r="E680" s="84"/>
      <c r="F680" s="84"/>
      <c r="Y680" s="84"/>
      <c r="Z680" s="84"/>
    </row>
    <row r="681" spans="5:26">
      <c r="E681" s="84"/>
      <c r="F681" s="84"/>
      <c r="Y681" s="84"/>
      <c r="Z681" s="84"/>
    </row>
    <row r="682" spans="5:26">
      <c r="E682" s="84"/>
      <c r="F682" s="84"/>
      <c r="Y682" s="84"/>
      <c r="Z682" s="84"/>
    </row>
    <row r="683" spans="5:26">
      <c r="E683" s="84"/>
      <c r="F683" s="84"/>
      <c r="Y683" s="84"/>
      <c r="Z683" s="84"/>
    </row>
    <row r="684" spans="5:26">
      <c r="E684" s="84"/>
      <c r="F684" s="84"/>
      <c r="Y684" s="84"/>
      <c r="Z684" s="84"/>
    </row>
    <row r="685" spans="5:26">
      <c r="E685" s="84"/>
      <c r="F685" s="84"/>
      <c r="Y685" s="84"/>
      <c r="Z685" s="84"/>
    </row>
    <row r="686" spans="5:26">
      <c r="E686" s="84"/>
      <c r="F686" s="84"/>
      <c r="Y686" s="84"/>
      <c r="Z686" s="84"/>
    </row>
    <row r="687" spans="5:26">
      <c r="E687" s="84"/>
      <c r="F687" s="84"/>
      <c r="Y687" s="84"/>
      <c r="Z687" s="84"/>
    </row>
    <row r="688" spans="5:26">
      <c r="E688" s="84"/>
      <c r="F688" s="84"/>
      <c r="Y688" s="84"/>
      <c r="Z688" s="84"/>
    </row>
    <row r="689" spans="5:26">
      <c r="E689" s="84"/>
      <c r="F689" s="84"/>
      <c r="Y689" s="84"/>
      <c r="Z689" s="84"/>
    </row>
    <row r="690" spans="5:26">
      <c r="E690" s="84"/>
      <c r="F690" s="84"/>
      <c r="Y690" s="84"/>
      <c r="Z690" s="84"/>
    </row>
    <row r="691" spans="5:26">
      <c r="E691" s="84"/>
      <c r="F691" s="84"/>
      <c r="Y691" s="84"/>
      <c r="Z691" s="84"/>
    </row>
    <row r="692" spans="5:26">
      <c r="E692" s="84"/>
      <c r="F692" s="84"/>
      <c r="Y692" s="84"/>
      <c r="Z692" s="84"/>
    </row>
    <row r="693" spans="5:26">
      <c r="E693" s="84"/>
      <c r="F693" s="84"/>
      <c r="Y693" s="84"/>
      <c r="Z693" s="84"/>
    </row>
    <row r="694" spans="5:26">
      <c r="E694" s="84"/>
      <c r="F694" s="84"/>
      <c r="Y694" s="84"/>
      <c r="Z694" s="84"/>
    </row>
    <row r="695" spans="5:26">
      <c r="E695" s="84"/>
      <c r="F695" s="84"/>
      <c r="Y695" s="84"/>
      <c r="Z695" s="84"/>
    </row>
    <row r="696" spans="5:26">
      <c r="E696" s="84"/>
      <c r="F696" s="84"/>
      <c r="Y696" s="84"/>
      <c r="Z696" s="84"/>
    </row>
    <row r="697" spans="5:26">
      <c r="E697" s="84"/>
      <c r="F697" s="84"/>
      <c r="Y697" s="84"/>
      <c r="Z697" s="84"/>
    </row>
    <row r="698" spans="5:26">
      <c r="E698" s="84"/>
      <c r="F698" s="84"/>
      <c r="Y698" s="84"/>
      <c r="Z698" s="84"/>
    </row>
    <row r="699" spans="5:26">
      <c r="E699" s="84"/>
      <c r="F699" s="84"/>
      <c r="Y699" s="84"/>
      <c r="Z699" s="84"/>
    </row>
    <row r="700" spans="5:26">
      <c r="E700" s="84"/>
      <c r="F700" s="84"/>
      <c r="Y700" s="84"/>
      <c r="Z700" s="84"/>
    </row>
    <row r="701" spans="5:26">
      <c r="E701" s="84"/>
      <c r="F701" s="84"/>
      <c r="Y701" s="84"/>
      <c r="Z701" s="84"/>
    </row>
    <row r="702" spans="5:26">
      <c r="E702" s="84"/>
      <c r="F702" s="84"/>
      <c r="Y702" s="84"/>
      <c r="Z702" s="84"/>
    </row>
    <row r="703" spans="5:26">
      <c r="E703" s="84"/>
      <c r="F703" s="84"/>
      <c r="Y703" s="84"/>
      <c r="Z703" s="84"/>
    </row>
    <row r="704" spans="5:26">
      <c r="E704" s="84"/>
      <c r="F704" s="84"/>
      <c r="Y704" s="84"/>
      <c r="Z704" s="84"/>
    </row>
    <row r="705" spans="5:26">
      <c r="E705" s="84"/>
      <c r="F705" s="84"/>
      <c r="Y705" s="84"/>
      <c r="Z705" s="84"/>
    </row>
    <row r="706" spans="5:26">
      <c r="E706" s="84"/>
      <c r="F706" s="84"/>
      <c r="Y706" s="84"/>
      <c r="Z706" s="84"/>
    </row>
    <row r="707" spans="5:26">
      <c r="E707" s="84"/>
      <c r="F707" s="84"/>
      <c r="Y707" s="84"/>
      <c r="Z707" s="84"/>
    </row>
    <row r="708" spans="5:26">
      <c r="E708" s="84"/>
      <c r="F708" s="84"/>
      <c r="Y708" s="84"/>
      <c r="Z708" s="84"/>
    </row>
    <row r="709" spans="5:26">
      <c r="E709" s="84"/>
      <c r="F709" s="84"/>
      <c r="Y709" s="84"/>
      <c r="Z709" s="84"/>
    </row>
    <row r="710" spans="5:26">
      <c r="E710" s="84"/>
      <c r="F710" s="84"/>
      <c r="Y710" s="84"/>
      <c r="Z710" s="84"/>
    </row>
    <row r="711" spans="5:26">
      <c r="E711" s="84"/>
      <c r="F711" s="84"/>
      <c r="Y711" s="84"/>
      <c r="Z711" s="84"/>
    </row>
    <row r="712" spans="5:26">
      <c r="E712" s="84"/>
      <c r="F712" s="84"/>
      <c r="Y712" s="84"/>
      <c r="Z712" s="84"/>
    </row>
    <row r="713" spans="5:26">
      <c r="E713" s="84"/>
      <c r="F713" s="84"/>
      <c r="Y713" s="84"/>
      <c r="Z713" s="84"/>
    </row>
    <row r="714" spans="5:26">
      <c r="E714" s="84"/>
      <c r="F714" s="84"/>
      <c r="Y714" s="84"/>
      <c r="Z714" s="84"/>
    </row>
    <row r="715" spans="5:26">
      <c r="E715" s="84"/>
      <c r="F715" s="84"/>
      <c r="Y715" s="84"/>
      <c r="Z715" s="84"/>
    </row>
    <row r="716" spans="5:26">
      <c r="E716" s="84"/>
      <c r="F716" s="84"/>
      <c r="Y716" s="84"/>
      <c r="Z716" s="84"/>
    </row>
    <row r="717" spans="5:26">
      <c r="E717" s="84"/>
      <c r="F717" s="84"/>
      <c r="Y717" s="84"/>
      <c r="Z717" s="84"/>
    </row>
    <row r="718" spans="5:26">
      <c r="E718" s="84"/>
      <c r="F718" s="84"/>
      <c r="Y718" s="84"/>
      <c r="Z718" s="84"/>
    </row>
    <row r="719" spans="5:26">
      <c r="E719" s="84"/>
      <c r="F719" s="84"/>
      <c r="Y719" s="84"/>
      <c r="Z719" s="84"/>
    </row>
    <row r="720" spans="5:26">
      <c r="E720" s="84"/>
      <c r="F720" s="84"/>
      <c r="Y720" s="84"/>
      <c r="Z720" s="84"/>
    </row>
    <row r="721" spans="5:26">
      <c r="E721" s="84"/>
      <c r="F721" s="84"/>
      <c r="Y721" s="84"/>
      <c r="Z721" s="84"/>
    </row>
    <row r="722" spans="5:26">
      <c r="E722" s="84"/>
      <c r="F722" s="84"/>
      <c r="Y722" s="84"/>
      <c r="Z722" s="84"/>
    </row>
    <row r="723" spans="5:26">
      <c r="E723" s="84"/>
      <c r="F723" s="84"/>
      <c r="Y723" s="84"/>
      <c r="Z723" s="84"/>
    </row>
    <row r="724" spans="5:26">
      <c r="E724" s="84"/>
      <c r="F724" s="84"/>
      <c r="Y724" s="84"/>
      <c r="Z724" s="84"/>
    </row>
    <row r="725" spans="5:26">
      <c r="E725" s="84"/>
      <c r="F725" s="84"/>
      <c r="Y725" s="84"/>
      <c r="Z725" s="84"/>
    </row>
    <row r="726" spans="5:26">
      <c r="E726" s="84"/>
      <c r="F726" s="84"/>
      <c r="Y726" s="84"/>
      <c r="Z726" s="84"/>
    </row>
    <row r="727" spans="5:26">
      <c r="E727" s="84"/>
      <c r="F727" s="84"/>
      <c r="Y727" s="84"/>
      <c r="Z727" s="84"/>
    </row>
    <row r="728" spans="5:26">
      <c r="E728" s="84"/>
      <c r="F728" s="84"/>
      <c r="Y728" s="84"/>
      <c r="Z728" s="84"/>
    </row>
    <row r="729" spans="5:26">
      <c r="E729" s="84"/>
      <c r="F729" s="84"/>
      <c r="Y729" s="84"/>
      <c r="Z729" s="84"/>
    </row>
    <row r="730" spans="5:26">
      <c r="E730" s="84"/>
      <c r="F730" s="84"/>
      <c r="Y730" s="84"/>
      <c r="Z730" s="84"/>
    </row>
    <row r="731" spans="5:26">
      <c r="E731" s="84"/>
      <c r="F731" s="84"/>
      <c r="Y731" s="84"/>
      <c r="Z731" s="84"/>
    </row>
    <row r="732" spans="5:26">
      <c r="E732" s="84"/>
      <c r="F732" s="84"/>
      <c r="Y732" s="84"/>
      <c r="Z732" s="84"/>
    </row>
    <row r="733" spans="5:26">
      <c r="E733" s="84"/>
      <c r="F733" s="84"/>
      <c r="Y733" s="84"/>
      <c r="Z733" s="84"/>
    </row>
    <row r="734" spans="5:26">
      <c r="E734" s="84"/>
      <c r="F734" s="84"/>
      <c r="Y734" s="84"/>
      <c r="Z734" s="84"/>
    </row>
    <row r="735" spans="5:26">
      <c r="E735" s="84"/>
      <c r="F735" s="84"/>
      <c r="Y735" s="84"/>
      <c r="Z735" s="84"/>
    </row>
    <row r="736" spans="5:26">
      <c r="E736" s="84"/>
      <c r="F736" s="84"/>
      <c r="Y736" s="84"/>
      <c r="Z736" s="84"/>
    </row>
    <row r="737" spans="5:26">
      <c r="E737" s="84"/>
      <c r="F737" s="84"/>
      <c r="Y737" s="84"/>
      <c r="Z737" s="84"/>
    </row>
    <row r="738" spans="5:26">
      <c r="E738" s="84"/>
      <c r="F738" s="84"/>
      <c r="Y738" s="84"/>
      <c r="Z738" s="84"/>
    </row>
    <row r="739" spans="5:26">
      <c r="E739" s="84"/>
      <c r="F739" s="84"/>
      <c r="Y739" s="84"/>
      <c r="Z739" s="84"/>
    </row>
    <row r="740" spans="5:26">
      <c r="E740" s="84"/>
      <c r="F740" s="84"/>
      <c r="Y740" s="84"/>
      <c r="Z740" s="84"/>
    </row>
    <row r="741" spans="5:26">
      <c r="E741" s="84"/>
      <c r="F741" s="84"/>
      <c r="Y741" s="84"/>
      <c r="Z741" s="84"/>
    </row>
    <row r="742" spans="5:26">
      <c r="E742" s="84"/>
      <c r="F742" s="84"/>
      <c r="Y742" s="84"/>
      <c r="Z742" s="84"/>
    </row>
    <row r="743" spans="5:26">
      <c r="E743" s="84"/>
      <c r="F743" s="84"/>
      <c r="Y743" s="84"/>
      <c r="Z743" s="84"/>
    </row>
    <row r="744" spans="5:26">
      <c r="E744" s="84"/>
      <c r="F744" s="84"/>
      <c r="Y744" s="84"/>
      <c r="Z744" s="84"/>
    </row>
    <row r="745" spans="5:26">
      <c r="E745" s="84"/>
      <c r="F745" s="84"/>
      <c r="Y745" s="84"/>
      <c r="Z745" s="84"/>
    </row>
    <row r="746" spans="5:26">
      <c r="E746" s="84"/>
      <c r="F746" s="84"/>
      <c r="Y746" s="84"/>
      <c r="Z746" s="84"/>
    </row>
    <row r="747" spans="5:26">
      <c r="E747" s="84"/>
      <c r="F747" s="84"/>
      <c r="Y747" s="84"/>
      <c r="Z747" s="84"/>
    </row>
    <row r="748" spans="5:26">
      <c r="E748" s="84"/>
      <c r="F748" s="84"/>
      <c r="Y748" s="84"/>
      <c r="Z748" s="84"/>
    </row>
    <row r="749" spans="5:26">
      <c r="E749" s="84"/>
      <c r="F749" s="84"/>
      <c r="Y749" s="84"/>
      <c r="Z749" s="84"/>
    </row>
    <row r="750" spans="5:26">
      <c r="E750" s="84"/>
      <c r="F750" s="84"/>
      <c r="Y750" s="84"/>
      <c r="Z750" s="84"/>
    </row>
    <row r="751" spans="5:26">
      <c r="E751" s="84"/>
      <c r="F751" s="84"/>
      <c r="Y751" s="84"/>
      <c r="Z751" s="84"/>
    </row>
    <row r="752" spans="5:26">
      <c r="E752" s="84"/>
      <c r="F752" s="84"/>
      <c r="Y752" s="84"/>
      <c r="Z752" s="84"/>
    </row>
    <row r="753" spans="5:26">
      <c r="E753" s="84"/>
      <c r="F753" s="84"/>
      <c r="Y753" s="84"/>
      <c r="Z753" s="84"/>
    </row>
    <row r="754" spans="5:26">
      <c r="E754" s="84"/>
      <c r="F754" s="84"/>
      <c r="Y754" s="84"/>
      <c r="Z754" s="84"/>
    </row>
    <row r="755" spans="5:26">
      <c r="E755" s="84"/>
      <c r="F755" s="84"/>
      <c r="Y755" s="84"/>
      <c r="Z755" s="84"/>
    </row>
    <row r="756" spans="5:26">
      <c r="E756" s="84"/>
      <c r="F756" s="84"/>
      <c r="Y756" s="84"/>
      <c r="Z756" s="84"/>
    </row>
    <row r="757" spans="5:26">
      <c r="E757" s="84"/>
      <c r="F757" s="84"/>
      <c r="Y757" s="84"/>
      <c r="Z757" s="84"/>
    </row>
    <row r="758" spans="5:26">
      <c r="E758" s="84"/>
      <c r="F758" s="84"/>
      <c r="Y758" s="84"/>
      <c r="Z758" s="84"/>
    </row>
    <row r="759" spans="5:26">
      <c r="E759" s="84"/>
      <c r="F759" s="84"/>
      <c r="Y759" s="84"/>
      <c r="Z759" s="84"/>
    </row>
    <row r="760" spans="5:26">
      <c r="E760" s="84"/>
      <c r="F760" s="84"/>
      <c r="Y760" s="84"/>
      <c r="Z760" s="84"/>
    </row>
    <row r="761" spans="5:26">
      <c r="E761" s="84"/>
      <c r="F761" s="84"/>
      <c r="Y761" s="84"/>
      <c r="Z761" s="84"/>
    </row>
    <row r="762" spans="5:26">
      <c r="E762" s="84"/>
      <c r="F762" s="84"/>
      <c r="Y762" s="84"/>
      <c r="Z762" s="84"/>
    </row>
    <row r="763" spans="5:26">
      <c r="E763" s="84"/>
      <c r="F763" s="84"/>
      <c r="Y763" s="84"/>
      <c r="Z763" s="84"/>
    </row>
    <row r="764" spans="5:26">
      <c r="E764" s="84"/>
      <c r="F764" s="84"/>
      <c r="Y764" s="84"/>
      <c r="Z764" s="84"/>
    </row>
    <row r="765" spans="5:26">
      <c r="E765" s="84"/>
      <c r="F765" s="84"/>
      <c r="Y765" s="84"/>
      <c r="Z765" s="84"/>
    </row>
    <row r="766" spans="5:26">
      <c r="E766" s="84"/>
      <c r="F766" s="84"/>
      <c r="Y766" s="84"/>
      <c r="Z766" s="84"/>
    </row>
    <row r="767" spans="5:26">
      <c r="E767" s="84"/>
      <c r="F767" s="84"/>
      <c r="Y767" s="84"/>
      <c r="Z767" s="84"/>
    </row>
    <row r="768" spans="5:26">
      <c r="E768" s="84"/>
      <c r="F768" s="84"/>
      <c r="Y768" s="84"/>
      <c r="Z768" s="84"/>
    </row>
    <row r="769" spans="5:26">
      <c r="E769" s="84"/>
      <c r="F769" s="84"/>
      <c r="Y769" s="84"/>
      <c r="Z769" s="84"/>
    </row>
    <row r="770" spans="5:26">
      <c r="E770" s="84"/>
      <c r="F770" s="84"/>
      <c r="Y770" s="84"/>
      <c r="Z770" s="84"/>
    </row>
    <row r="771" spans="5:26">
      <c r="E771" s="84"/>
      <c r="F771" s="84"/>
      <c r="Y771" s="84"/>
      <c r="Z771" s="84"/>
    </row>
    <row r="772" spans="5:26">
      <c r="E772" s="84"/>
      <c r="F772" s="84"/>
      <c r="Y772" s="84"/>
      <c r="Z772" s="84"/>
    </row>
    <row r="773" spans="5:26">
      <c r="E773" s="84"/>
      <c r="F773" s="84"/>
      <c r="Y773" s="84"/>
      <c r="Z773" s="84"/>
    </row>
    <row r="774" spans="5:26">
      <c r="E774" s="84"/>
      <c r="F774" s="84"/>
      <c r="Y774" s="84"/>
      <c r="Z774" s="84"/>
    </row>
    <row r="775" spans="5:26">
      <c r="E775" s="84"/>
      <c r="F775" s="84"/>
      <c r="Y775" s="84"/>
      <c r="Z775" s="84"/>
    </row>
    <row r="776" spans="5:26">
      <c r="E776" s="84"/>
      <c r="F776" s="84"/>
      <c r="Y776" s="84"/>
      <c r="Z776" s="84"/>
    </row>
    <row r="777" spans="5:26">
      <c r="E777" s="84"/>
      <c r="F777" s="84"/>
      <c r="Y777" s="84"/>
      <c r="Z777" s="84"/>
    </row>
    <row r="778" spans="5:26">
      <c r="E778" s="84"/>
      <c r="F778" s="84"/>
      <c r="Y778" s="84"/>
      <c r="Z778" s="84"/>
    </row>
    <row r="779" spans="5:26">
      <c r="E779" s="84"/>
      <c r="F779" s="84"/>
      <c r="Y779" s="84"/>
      <c r="Z779" s="84"/>
    </row>
    <row r="780" spans="5:26">
      <c r="E780" s="84"/>
      <c r="F780" s="84"/>
      <c r="Y780" s="84"/>
      <c r="Z780" s="84"/>
    </row>
    <row r="781" spans="5:26">
      <c r="E781" s="84"/>
      <c r="F781" s="84"/>
      <c r="Y781" s="84"/>
      <c r="Z781" s="84"/>
    </row>
    <row r="782" spans="5:26">
      <c r="E782" s="84"/>
      <c r="F782" s="84"/>
      <c r="Y782" s="84"/>
      <c r="Z782" s="84"/>
    </row>
    <row r="783" spans="5:26">
      <c r="E783" s="84"/>
      <c r="F783" s="84"/>
      <c r="Y783" s="84"/>
      <c r="Z783" s="84"/>
    </row>
    <row r="784" spans="5:26">
      <c r="E784" s="84"/>
      <c r="F784" s="84"/>
      <c r="Y784" s="84"/>
      <c r="Z784" s="84"/>
    </row>
    <row r="785" spans="5:26">
      <c r="E785" s="84"/>
      <c r="F785" s="84"/>
      <c r="Y785" s="84"/>
      <c r="Z785" s="84"/>
    </row>
    <row r="786" spans="5:26">
      <c r="E786" s="84"/>
      <c r="F786" s="84"/>
      <c r="Y786" s="84"/>
      <c r="Z786" s="84"/>
    </row>
    <row r="787" spans="5:26">
      <c r="E787" s="84"/>
      <c r="F787" s="84"/>
      <c r="Y787" s="84"/>
      <c r="Z787" s="84"/>
    </row>
    <row r="788" spans="5:26">
      <c r="E788" s="84"/>
      <c r="F788" s="84"/>
      <c r="Y788" s="84"/>
      <c r="Z788" s="84"/>
    </row>
    <row r="789" spans="5:26">
      <c r="E789" s="84"/>
      <c r="F789" s="84"/>
      <c r="Y789" s="84"/>
      <c r="Z789" s="84"/>
    </row>
    <row r="790" spans="5:26">
      <c r="E790" s="84"/>
      <c r="F790" s="84"/>
      <c r="Y790" s="84"/>
      <c r="Z790" s="84"/>
    </row>
    <row r="791" spans="5:26">
      <c r="E791" s="84"/>
      <c r="F791" s="84"/>
      <c r="Y791" s="84"/>
      <c r="Z791" s="84"/>
    </row>
    <row r="792" spans="5:26">
      <c r="E792" s="84"/>
      <c r="F792" s="84"/>
      <c r="Y792" s="84"/>
      <c r="Z792" s="84"/>
    </row>
    <row r="793" spans="5:26">
      <c r="E793" s="84"/>
      <c r="F793" s="84"/>
      <c r="Y793" s="84"/>
      <c r="Z793" s="84"/>
    </row>
    <row r="794" spans="5:26">
      <c r="E794" s="84"/>
      <c r="F794" s="84"/>
      <c r="Y794" s="84"/>
      <c r="Z794" s="84"/>
    </row>
    <row r="795" spans="5:26">
      <c r="E795" s="84"/>
      <c r="F795" s="84"/>
      <c r="Y795" s="84"/>
      <c r="Z795" s="84"/>
    </row>
    <row r="796" spans="5:26">
      <c r="E796" s="84"/>
      <c r="F796" s="84"/>
      <c r="Y796" s="84"/>
      <c r="Z796" s="84"/>
    </row>
    <row r="797" spans="5:26">
      <c r="E797" s="84"/>
      <c r="F797" s="84"/>
      <c r="Y797" s="84"/>
      <c r="Z797" s="84"/>
    </row>
    <row r="798" spans="5:26">
      <c r="E798" s="84"/>
      <c r="F798" s="84"/>
      <c r="Y798" s="84"/>
      <c r="Z798" s="84"/>
    </row>
    <row r="799" spans="5:26">
      <c r="E799" s="84"/>
      <c r="F799" s="84"/>
      <c r="Y799" s="84"/>
      <c r="Z799" s="84"/>
    </row>
    <row r="800" spans="5:26">
      <c r="E800" s="84"/>
      <c r="F800" s="84"/>
      <c r="Y800" s="84"/>
      <c r="Z800" s="84"/>
    </row>
    <row r="801" spans="5:26">
      <c r="E801" s="84"/>
      <c r="F801" s="84"/>
      <c r="Y801" s="84"/>
      <c r="Z801" s="84"/>
    </row>
    <row r="802" spans="5:26">
      <c r="E802" s="84"/>
      <c r="F802" s="84"/>
      <c r="Y802" s="84"/>
      <c r="Z802" s="84"/>
    </row>
    <row r="803" spans="5:26">
      <c r="E803" s="84"/>
      <c r="F803" s="84"/>
      <c r="Y803" s="84"/>
      <c r="Z803" s="84"/>
    </row>
    <row r="804" spans="5:26">
      <c r="E804" s="84"/>
      <c r="F804" s="84"/>
      <c r="Y804" s="84"/>
      <c r="Z804" s="84"/>
    </row>
    <row r="805" spans="5:26">
      <c r="E805" s="84"/>
      <c r="F805" s="84"/>
      <c r="Y805" s="84"/>
      <c r="Z805" s="84"/>
    </row>
    <row r="806" spans="5:26">
      <c r="E806" s="84"/>
      <c r="F806" s="84"/>
      <c r="Y806" s="84"/>
      <c r="Z806" s="84"/>
    </row>
    <row r="807" spans="5:26">
      <c r="E807" s="84"/>
      <c r="F807" s="84"/>
      <c r="Y807" s="84"/>
      <c r="Z807" s="84"/>
    </row>
    <row r="808" spans="5:26">
      <c r="E808" s="84"/>
      <c r="F808" s="84"/>
      <c r="Y808" s="84"/>
      <c r="Z808" s="84"/>
    </row>
    <row r="809" spans="5:26">
      <c r="E809" s="84"/>
      <c r="F809" s="84"/>
      <c r="Y809" s="84"/>
      <c r="Z809" s="84"/>
    </row>
    <row r="810" spans="5:26">
      <c r="E810" s="84"/>
      <c r="F810" s="84"/>
      <c r="Y810" s="84"/>
      <c r="Z810" s="84"/>
    </row>
    <row r="811" spans="5:26">
      <c r="E811" s="84"/>
      <c r="F811" s="84"/>
      <c r="Y811" s="84"/>
      <c r="Z811" s="84"/>
    </row>
    <row r="812" spans="5:26">
      <c r="E812" s="84"/>
      <c r="F812" s="84"/>
      <c r="Y812" s="84"/>
      <c r="Z812" s="84"/>
    </row>
    <row r="813" spans="5:26">
      <c r="E813" s="84"/>
      <c r="F813" s="84"/>
      <c r="Y813" s="84"/>
      <c r="Z813" s="84"/>
    </row>
    <row r="814" spans="5:26">
      <c r="E814" s="84"/>
      <c r="F814" s="84"/>
      <c r="Y814" s="84"/>
      <c r="Z814" s="84"/>
    </row>
    <row r="815" spans="5:26">
      <c r="E815" s="84"/>
      <c r="F815" s="84"/>
      <c r="Y815" s="84"/>
      <c r="Z815" s="84"/>
    </row>
    <row r="816" spans="5:26">
      <c r="E816" s="84"/>
      <c r="F816" s="84"/>
      <c r="Y816" s="84"/>
      <c r="Z816" s="84"/>
    </row>
    <row r="817" spans="5:26">
      <c r="E817" s="84"/>
      <c r="F817" s="84"/>
      <c r="Y817" s="84"/>
      <c r="Z817" s="84"/>
    </row>
    <row r="818" spans="5:26">
      <c r="E818" s="84"/>
      <c r="F818" s="84"/>
      <c r="Y818" s="84"/>
      <c r="Z818" s="84"/>
    </row>
    <row r="819" spans="5:26">
      <c r="E819" s="84"/>
      <c r="F819" s="84"/>
      <c r="Y819" s="84"/>
      <c r="Z819" s="84"/>
    </row>
    <row r="820" spans="5:26">
      <c r="E820" s="84"/>
      <c r="F820" s="84"/>
      <c r="Y820" s="84"/>
      <c r="Z820" s="84"/>
    </row>
    <row r="821" spans="5:26">
      <c r="E821" s="84"/>
      <c r="F821" s="84"/>
      <c r="Y821" s="84"/>
      <c r="Z821" s="84"/>
    </row>
    <row r="822" spans="5:26">
      <c r="E822" s="84"/>
      <c r="F822" s="84"/>
      <c r="Y822" s="84"/>
      <c r="Z822" s="84"/>
    </row>
    <row r="823" spans="5:26">
      <c r="E823" s="84"/>
      <c r="F823" s="84"/>
      <c r="Y823" s="84"/>
      <c r="Z823" s="84"/>
    </row>
    <row r="824" spans="5:26">
      <c r="E824" s="84"/>
      <c r="F824" s="84"/>
      <c r="Y824" s="84"/>
      <c r="Z824" s="84"/>
    </row>
    <row r="825" spans="5:26">
      <c r="E825" s="84"/>
      <c r="F825" s="84"/>
      <c r="Y825" s="84"/>
      <c r="Z825" s="84"/>
    </row>
    <row r="826" spans="5:26">
      <c r="E826" s="84"/>
      <c r="F826" s="84"/>
      <c r="Y826" s="84"/>
      <c r="Z826" s="84"/>
    </row>
    <row r="827" spans="5:26">
      <c r="E827" s="84"/>
      <c r="F827" s="84"/>
      <c r="Y827" s="84"/>
      <c r="Z827" s="84"/>
    </row>
    <row r="828" spans="5:26">
      <c r="E828" s="84"/>
      <c r="F828" s="84"/>
      <c r="Y828" s="84"/>
      <c r="Z828" s="84"/>
    </row>
    <row r="829" spans="5:26">
      <c r="E829" s="84"/>
      <c r="F829" s="84"/>
      <c r="Y829" s="84"/>
      <c r="Z829" s="84"/>
    </row>
    <row r="830" spans="5:26">
      <c r="E830" s="84"/>
      <c r="F830" s="84"/>
      <c r="Y830" s="84"/>
      <c r="Z830" s="84"/>
    </row>
    <row r="831" spans="5:26">
      <c r="E831" s="84"/>
      <c r="F831" s="84"/>
      <c r="Y831" s="84"/>
      <c r="Z831" s="84"/>
    </row>
    <row r="832" spans="5:26">
      <c r="E832" s="84"/>
      <c r="F832" s="84"/>
      <c r="Y832" s="84"/>
      <c r="Z832" s="84"/>
    </row>
    <row r="833" spans="5:26">
      <c r="E833" s="84"/>
      <c r="F833" s="84"/>
      <c r="Y833" s="84"/>
      <c r="Z833" s="84"/>
    </row>
    <row r="834" spans="5:26">
      <c r="E834" s="84"/>
      <c r="F834" s="84"/>
      <c r="Y834" s="84"/>
      <c r="Z834" s="84"/>
    </row>
    <row r="835" spans="5:26">
      <c r="E835" s="84"/>
      <c r="F835" s="84"/>
      <c r="Y835" s="84"/>
      <c r="Z835" s="84"/>
    </row>
    <row r="836" spans="5:26">
      <c r="E836" s="84"/>
      <c r="F836" s="84"/>
      <c r="Y836" s="84"/>
      <c r="Z836" s="84"/>
    </row>
    <row r="837" spans="5:26">
      <c r="E837" s="84"/>
      <c r="F837" s="84"/>
      <c r="Y837" s="84"/>
      <c r="Z837" s="84"/>
    </row>
    <row r="838" spans="5:26">
      <c r="E838" s="84"/>
      <c r="F838" s="84"/>
      <c r="Y838" s="84"/>
      <c r="Z838" s="84"/>
    </row>
    <row r="839" spans="5:26">
      <c r="E839" s="84"/>
      <c r="F839" s="84"/>
      <c r="Y839" s="84"/>
      <c r="Z839" s="84"/>
    </row>
    <row r="840" spans="5:26">
      <c r="E840" s="84"/>
      <c r="F840" s="84"/>
      <c r="Y840" s="84"/>
      <c r="Z840" s="84"/>
    </row>
    <row r="841" spans="5:26">
      <c r="E841" s="84"/>
      <c r="F841" s="84"/>
      <c r="Y841" s="84"/>
      <c r="Z841" s="84"/>
    </row>
    <row r="842" spans="5:26">
      <c r="E842" s="84"/>
      <c r="F842" s="84"/>
      <c r="Y842" s="84"/>
      <c r="Z842" s="84"/>
    </row>
    <row r="843" spans="5:26">
      <c r="E843" s="84"/>
      <c r="F843" s="84"/>
      <c r="Y843" s="84"/>
      <c r="Z843" s="84"/>
    </row>
    <row r="844" spans="5:26">
      <c r="E844" s="84"/>
      <c r="F844" s="84"/>
      <c r="Y844" s="84"/>
      <c r="Z844" s="84"/>
    </row>
    <row r="845" spans="5:26">
      <c r="E845" s="84"/>
      <c r="F845" s="84"/>
      <c r="Y845" s="84"/>
      <c r="Z845" s="84"/>
    </row>
    <row r="846" spans="5:26">
      <c r="E846" s="84"/>
      <c r="F846" s="84"/>
      <c r="Y846" s="84"/>
      <c r="Z846" s="84"/>
    </row>
    <row r="847" spans="5:26">
      <c r="E847" s="84"/>
      <c r="F847" s="84"/>
      <c r="Y847" s="84"/>
      <c r="Z847" s="84"/>
    </row>
    <row r="848" spans="5:26">
      <c r="E848" s="84"/>
      <c r="F848" s="84"/>
      <c r="Y848" s="84"/>
      <c r="Z848" s="84"/>
    </row>
    <row r="849" spans="5:26">
      <c r="E849" s="84"/>
      <c r="F849" s="84"/>
      <c r="Y849" s="84"/>
      <c r="Z849" s="84"/>
    </row>
    <row r="850" spans="5:26">
      <c r="E850" s="84"/>
      <c r="F850" s="84"/>
      <c r="Y850" s="84"/>
      <c r="Z850" s="84"/>
    </row>
    <row r="851" spans="5:26">
      <c r="E851" s="84"/>
      <c r="F851" s="84"/>
      <c r="Y851" s="84"/>
      <c r="Z851" s="84"/>
    </row>
    <row r="852" spans="5:26">
      <c r="E852" s="84"/>
      <c r="F852" s="84"/>
      <c r="Y852" s="84"/>
      <c r="Z852" s="84"/>
    </row>
    <row r="853" spans="5:26">
      <c r="E853" s="84"/>
      <c r="F853" s="84"/>
      <c r="Y853" s="84"/>
      <c r="Z853" s="84"/>
    </row>
    <row r="854" spans="5:26">
      <c r="E854" s="84"/>
      <c r="F854" s="84"/>
      <c r="Y854" s="84"/>
      <c r="Z854" s="84"/>
    </row>
    <row r="855" spans="5:26">
      <c r="E855" s="84"/>
      <c r="F855" s="84"/>
      <c r="Y855" s="84"/>
      <c r="Z855" s="84"/>
    </row>
    <row r="856" spans="5:26">
      <c r="E856" s="84"/>
      <c r="F856" s="84"/>
      <c r="Y856" s="84"/>
      <c r="Z856" s="84"/>
    </row>
    <row r="857" spans="5:26">
      <c r="E857" s="84"/>
      <c r="F857" s="84"/>
      <c r="Y857" s="84"/>
      <c r="Z857" s="84"/>
    </row>
    <row r="858" spans="5:26">
      <c r="E858" s="84"/>
      <c r="F858" s="84"/>
      <c r="Y858" s="84"/>
      <c r="Z858" s="84"/>
    </row>
    <row r="859" spans="5:26">
      <c r="E859" s="84"/>
      <c r="F859" s="84"/>
      <c r="Y859" s="84"/>
      <c r="Z859" s="84"/>
    </row>
    <row r="860" spans="5:26">
      <c r="E860" s="84"/>
      <c r="F860" s="84"/>
      <c r="Y860" s="84"/>
      <c r="Z860" s="84"/>
    </row>
    <row r="861" spans="5:26">
      <c r="E861" s="84"/>
      <c r="F861" s="84"/>
      <c r="Y861" s="84"/>
      <c r="Z861" s="84"/>
    </row>
    <row r="862" spans="5:26">
      <c r="E862" s="84"/>
      <c r="F862" s="84"/>
      <c r="Y862" s="84"/>
      <c r="Z862" s="84"/>
    </row>
    <row r="863" spans="5:26">
      <c r="E863" s="84"/>
      <c r="F863" s="84"/>
      <c r="Y863" s="84"/>
      <c r="Z863" s="84"/>
    </row>
    <row r="864" spans="5:26">
      <c r="E864" s="84"/>
      <c r="F864" s="84"/>
      <c r="Y864" s="84"/>
      <c r="Z864" s="84"/>
    </row>
    <row r="865" spans="5:26">
      <c r="E865" s="84"/>
      <c r="F865" s="84"/>
      <c r="Y865" s="84"/>
      <c r="Z865" s="84"/>
    </row>
    <row r="866" spans="5:26">
      <c r="E866" s="84"/>
      <c r="F866" s="84"/>
      <c r="Y866" s="84"/>
      <c r="Z866" s="84"/>
    </row>
    <row r="867" spans="5:26">
      <c r="E867" s="84"/>
      <c r="F867" s="84"/>
      <c r="Y867" s="84"/>
      <c r="Z867" s="84"/>
    </row>
    <row r="868" spans="5:26">
      <c r="E868" s="84"/>
      <c r="F868" s="84"/>
      <c r="Y868" s="84"/>
      <c r="Z868" s="84"/>
    </row>
    <row r="869" spans="5:26">
      <c r="E869" s="84"/>
      <c r="F869" s="84"/>
      <c r="Y869" s="84"/>
      <c r="Z869" s="84"/>
    </row>
    <row r="870" spans="5:26">
      <c r="E870" s="84"/>
      <c r="F870" s="84"/>
      <c r="Y870" s="84"/>
      <c r="Z870" s="84"/>
    </row>
    <row r="871" spans="5:26">
      <c r="E871" s="84"/>
      <c r="F871" s="84"/>
      <c r="Y871" s="84"/>
      <c r="Z871" s="84"/>
    </row>
    <row r="872" spans="5:26">
      <c r="E872" s="84"/>
      <c r="F872" s="84"/>
      <c r="Y872" s="84"/>
      <c r="Z872" s="84"/>
    </row>
    <row r="873" spans="5:26">
      <c r="E873" s="84"/>
      <c r="F873" s="84"/>
      <c r="Y873" s="84"/>
      <c r="Z873" s="84"/>
    </row>
    <row r="874" spans="5:26">
      <c r="E874" s="84"/>
      <c r="F874" s="84"/>
      <c r="Y874" s="84"/>
      <c r="Z874" s="84"/>
    </row>
    <row r="875" spans="5:26">
      <c r="E875" s="84"/>
      <c r="F875" s="84"/>
      <c r="Y875" s="84"/>
      <c r="Z875" s="84"/>
    </row>
    <row r="876" spans="5:26">
      <c r="E876" s="84"/>
      <c r="F876" s="84"/>
      <c r="Y876" s="84"/>
      <c r="Z876" s="84"/>
    </row>
    <row r="877" spans="5:26">
      <c r="E877" s="84"/>
      <c r="F877" s="84"/>
      <c r="Y877" s="84"/>
      <c r="Z877" s="84"/>
    </row>
    <row r="878" spans="5:26">
      <c r="E878" s="84"/>
      <c r="F878" s="84"/>
      <c r="Y878" s="84"/>
      <c r="Z878" s="84"/>
    </row>
    <row r="879" spans="5:26">
      <c r="E879" s="84"/>
      <c r="F879" s="84"/>
      <c r="Y879" s="84"/>
      <c r="Z879" s="84"/>
    </row>
    <row r="880" spans="5:26">
      <c r="E880" s="84"/>
      <c r="F880" s="84"/>
      <c r="Y880" s="84"/>
      <c r="Z880" s="84"/>
    </row>
    <row r="881" spans="5:26">
      <c r="E881" s="84"/>
      <c r="F881" s="84"/>
      <c r="Y881" s="84"/>
      <c r="Z881" s="84"/>
    </row>
    <row r="882" spans="5:26">
      <c r="E882" s="84"/>
      <c r="F882" s="84"/>
      <c r="Y882" s="84"/>
      <c r="Z882" s="84"/>
    </row>
    <row r="883" spans="5:26">
      <c r="E883" s="84"/>
      <c r="F883" s="84"/>
      <c r="Y883" s="84"/>
      <c r="Z883" s="84"/>
    </row>
    <row r="884" spans="5:26">
      <c r="E884" s="84"/>
      <c r="F884" s="84"/>
      <c r="Y884" s="84"/>
      <c r="Z884" s="84"/>
    </row>
    <row r="885" spans="5:26">
      <c r="E885" s="84"/>
      <c r="F885" s="84"/>
      <c r="Y885" s="84"/>
      <c r="Z885" s="84"/>
    </row>
    <row r="886" spans="5:26">
      <c r="E886" s="84"/>
      <c r="F886" s="84"/>
      <c r="Y886" s="84"/>
      <c r="Z886" s="84"/>
    </row>
    <row r="887" spans="5:26">
      <c r="E887" s="84"/>
      <c r="F887" s="84"/>
      <c r="Y887" s="84"/>
      <c r="Z887" s="84"/>
    </row>
    <row r="888" spans="5:26">
      <c r="E888" s="84"/>
      <c r="F888" s="84"/>
      <c r="Y888" s="84"/>
      <c r="Z888" s="84"/>
    </row>
    <row r="889" spans="5:26">
      <c r="E889" s="84"/>
      <c r="F889" s="84"/>
      <c r="Y889" s="84"/>
      <c r="Z889" s="84"/>
    </row>
    <row r="890" spans="5:26">
      <c r="E890" s="84"/>
      <c r="F890" s="84"/>
      <c r="Y890" s="84"/>
      <c r="Z890" s="84"/>
    </row>
    <row r="891" spans="5:26">
      <c r="E891" s="84"/>
      <c r="F891" s="84"/>
      <c r="Y891" s="84"/>
      <c r="Z891" s="84"/>
    </row>
    <row r="892" spans="5:26">
      <c r="E892" s="84"/>
      <c r="F892" s="84"/>
      <c r="Y892" s="84"/>
      <c r="Z892" s="84"/>
    </row>
    <row r="893" spans="5:26">
      <c r="E893" s="84"/>
      <c r="F893" s="84"/>
      <c r="Y893" s="84"/>
      <c r="Z893" s="84"/>
    </row>
    <row r="894" spans="5:26">
      <c r="E894" s="84"/>
      <c r="F894" s="84"/>
      <c r="Y894" s="84"/>
      <c r="Z894" s="84"/>
    </row>
    <row r="895" spans="5:26">
      <c r="E895" s="84"/>
      <c r="F895" s="84"/>
      <c r="Y895" s="84"/>
      <c r="Z895" s="84"/>
    </row>
    <row r="896" spans="5:26">
      <c r="E896" s="84"/>
      <c r="F896" s="84"/>
      <c r="Y896" s="84"/>
      <c r="Z896" s="84"/>
    </row>
    <row r="897" spans="5:26">
      <c r="E897" s="84"/>
      <c r="F897" s="84"/>
      <c r="Y897" s="84"/>
      <c r="Z897" s="84"/>
    </row>
    <row r="898" spans="5:26">
      <c r="E898" s="84"/>
      <c r="F898" s="84"/>
      <c r="Y898" s="84"/>
      <c r="Z898" s="84"/>
    </row>
    <row r="899" spans="5:26">
      <c r="E899" s="84"/>
      <c r="F899" s="84"/>
      <c r="Y899" s="84"/>
      <c r="Z899" s="84"/>
    </row>
    <row r="900" spans="5:26">
      <c r="E900" s="84"/>
      <c r="F900" s="84"/>
      <c r="Y900" s="84"/>
      <c r="Z900" s="84"/>
    </row>
    <row r="901" spans="5:26">
      <c r="E901" s="84"/>
      <c r="F901" s="84"/>
      <c r="Y901" s="84"/>
      <c r="Z901" s="84"/>
    </row>
    <row r="902" spans="5:26">
      <c r="E902" s="84"/>
      <c r="F902" s="84"/>
      <c r="Y902" s="84"/>
      <c r="Z902" s="84"/>
    </row>
    <row r="903" spans="5:26">
      <c r="E903" s="84"/>
      <c r="F903" s="84"/>
      <c r="Y903" s="84"/>
      <c r="Z903" s="84"/>
    </row>
    <row r="904" spans="5:26">
      <c r="E904" s="84"/>
      <c r="F904" s="84"/>
      <c r="Y904" s="84"/>
      <c r="Z904" s="84"/>
    </row>
    <row r="905" spans="5:26">
      <c r="E905" s="84"/>
      <c r="F905" s="84"/>
      <c r="Y905" s="84"/>
      <c r="Z905" s="84"/>
    </row>
    <row r="906" spans="5:26">
      <c r="E906" s="84"/>
      <c r="F906" s="84"/>
      <c r="Y906" s="84"/>
      <c r="Z906" s="84"/>
    </row>
    <row r="907" spans="5:26">
      <c r="E907" s="84"/>
      <c r="F907" s="84"/>
      <c r="Y907" s="84"/>
      <c r="Z907" s="84"/>
    </row>
    <row r="908" spans="5:26">
      <c r="E908" s="84"/>
      <c r="F908" s="84"/>
      <c r="Y908" s="84"/>
      <c r="Z908" s="84"/>
    </row>
    <row r="909" spans="5:26">
      <c r="E909" s="84"/>
      <c r="F909" s="84"/>
      <c r="Y909" s="84"/>
      <c r="Z909" s="84"/>
    </row>
    <row r="910" spans="5:26">
      <c r="E910" s="84"/>
      <c r="F910" s="84"/>
      <c r="Y910" s="84"/>
      <c r="Z910" s="84"/>
    </row>
    <row r="911" spans="5:26">
      <c r="E911" s="84"/>
      <c r="F911" s="84"/>
      <c r="Y911" s="84"/>
      <c r="Z911" s="84"/>
    </row>
    <row r="912" spans="5:26">
      <c r="E912" s="84"/>
      <c r="F912" s="84"/>
      <c r="Y912" s="84"/>
      <c r="Z912" s="84"/>
    </row>
    <row r="913" spans="5:26">
      <c r="E913" s="84"/>
      <c r="F913" s="84"/>
      <c r="Y913" s="84"/>
      <c r="Z913" s="84"/>
    </row>
    <row r="914" spans="5:26">
      <c r="E914" s="84"/>
      <c r="F914" s="84"/>
      <c r="Y914" s="84"/>
      <c r="Z914" s="84"/>
    </row>
    <row r="915" spans="5:26">
      <c r="E915" s="84"/>
      <c r="F915" s="84"/>
      <c r="Y915" s="84"/>
      <c r="Z915" s="84"/>
    </row>
    <row r="916" spans="5:26">
      <c r="E916" s="84"/>
      <c r="F916" s="84"/>
      <c r="Y916" s="84"/>
      <c r="Z916" s="84"/>
    </row>
    <row r="917" spans="5:26">
      <c r="E917" s="84"/>
      <c r="F917" s="84"/>
      <c r="Y917" s="84"/>
      <c r="Z917" s="84"/>
    </row>
    <row r="918" spans="5:26">
      <c r="E918" s="84"/>
      <c r="F918" s="84"/>
      <c r="Y918" s="84"/>
      <c r="Z918" s="84"/>
    </row>
    <row r="919" spans="5:26">
      <c r="E919" s="84"/>
      <c r="F919" s="84"/>
      <c r="Y919" s="84"/>
      <c r="Z919" s="84"/>
    </row>
    <row r="920" spans="5:26">
      <c r="E920" s="84"/>
      <c r="F920" s="84"/>
      <c r="Y920" s="84"/>
      <c r="Z920" s="84"/>
    </row>
    <row r="921" spans="5:26">
      <c r="E921" s="84"/>
      <c r="F921" s="84"/>
      <c r="Y921" s="84"/>
      <c r="Z921" s="84"/>
    </row>
    <row r="922" spans="5:26">
      <c r="E922" s="84"/>
      <c r="F922" s="84"/>
      <c r="Y922" s="84"/>
      <c r="Z922" s="84"/>
    </row>
    <row r="923" spans="5:26">
      <c r="E923" s="84"/>
      <c r="F923" s="84"/>
      <c r="Y923" s="84"/>
      <c r="Z923" s="84"/>
    </row>
    <row r="924" spans="5:26">
      <c r="E924" s="84"/>
      <c r="F924" s="84"/>
      <c r="Y924" s="84"/>
      <c r="Z924" s="84"/>
    </row>
    <row r="925" spans="5:26">
      <c r="E925" s="84"/>
      <c r="F925" s="84"/>
      <c r="Y925" s="84"/>
      <c r="Z925" s="84"/>
    </row>
    <row r="926" spans="5:26">
      <c r="E926" s="84"/>
      <c r="F926" s="84"/>
      <c r="Y926" s="84"/>
      <c r="Z926" s="84"/>
    </row>
    <row r="927" spans="5:26">
      <c r="E927" s="84"/>
      <c r="F927" s="84"/>
      <c r="Y927" s="84"/>
      <c r="Z927" s="84"/>
    </row>
    <row r="928" spans="5:26">
      <c r="E928" s="84"/>
      <c r="F928" s="84"/>
      <c r="Y928" s="84"/>
      <c r="Z928" s="84"/>
    </row>
    <row r="929" spans="5:26">
      <c r="E929" s="84"/>
      <c r="F929" s="84"/>
      <c r="Y929" s="84"/>
      <c r="Z929" s="84"/>
    </row>
    <row r="930" spans="5:26">
      <c r="E930" s="84"/>
      <c r="F930" s="84"/>
      <c r="Y930" s="84"/>
      <c r="Z930" s="84"/>
    </row>
    <row r="931" spans="5:26">
      <c r="E931" s="84"/>
      <c r="F931" s="84"/>
      <c r="Y931" s="84"/>
      <c r="Z931" s="84"/>
    </row>
    <row r="932" spans="5:26">
      <c r="E932" s="84"/>
      <c r="F932" s="84"/>
      <c r="Y932" s="84"/>
      <c r="Z932" s="84"/>
    </row>
    <row r="933" spans="5:26">
      <c r="E933" s="84"/>
      <c r="F933" s="84"/>
      <c r="Y933" s="84"/>
      <c r="Z933" s="84"/>
    </row>
    <row r="934" spans="5:26">
      <c r="E934" s="84"/>
      <c r="F934" s="84"/>
      <c r="Y934" s="84"/>
      <c r="Z934" s="84"/>
    </row>
    <row r="935" spans="5:26">
      <c r="E935" s="84"/>
      <c r="F935" s="84"/>
      <c r="Y935" s="84"/>
      <c r="Z935" s="84"/>
    </row>
    <row r="936" spans="5:26">
      <c r="E936" s="84"/>
      <c r="F936" s="84"/>
      <c r="Y936" s="84"/>
      <c r="Z936" s="84"/>
    </row>
    <row r="937" spans="5:26">
      <c r="E937" s="84"/>
      <c r="F937" s="84"/>
      <c r="Y937" s="84"/>
      <c r="Z937" s="84"/>
    </row>
    <row r="938" spans="5:26">
      <c r="E938" s="84"/>
      <c r="F938" s="84"/>
      <c r="Y938" s="84"/>
      <c r="Z938" s="84"/>
    </row>
    <row r="939" spans="5:26">
      <c r="E939" s="84"/>
      <c r="F939" s="84"/>
      <c r="Y939" s="84"/>
      <c r="Z939" s="84"/>
    </row>
    <row r="940" spans="5:26">
      <c r="E940" s="84"/>
      <c r="F940" s="84"/>
      <c r="Y940" s="84"/>
      <c r="Z940" s="84"/>
    </row>
    <row r="941" spans="5:26">
      <c r="E941" s="84"/>
      <c r="F941" s="84"/>
      <c r="Y941" s="84"/>
      <c r="Z941" s="84"/>
    </row>
    <row r="942" spans="5:26">
      <c r="E942" s="84"/>
      <c r="F942" s="84"/>
      <c r="Y942" s="84"/>
      <c r="Z942" s="84"/>
    </row>
    <row r="943" spans="5:26">
      <c r="E943" s="84"/>
      <c r="F943" s="84"/>
      <c r="Y943" s="84"/>
      <c r="Z943" s="84"/>
    </row>
    <row r="944" spans="5:26">
      <c r="E944" s="84"/>
      <c r="F944" s="84"/>
      <c r="Y944" s="84"/>
      <c r="Z944" s="84"/>
    </row>
    <row r="945" spans="5:26">
      <c r="E945" s="84"/>
      <c r="F945" s="84"/>
      <c r="Y945" s="84"/>
      <c r="Z945" s="84"/>
    </row>
    <row r="946" spans="5:26">
      <c r="E946" s="84"/>
      <c r="F946" s="84"/>
      <c r="Y946" s="84"/>
      <c r="Z946" s="84"/>
    </row>
    <row r="947" spans="5:26">
      <c r="E947" s="84"/>
      <c r="F947" s="84"/>
      <c r="Y947" s="84"/>
      <c r="Z947" s="84"/>
    </row>
    <row r="948" spans="5:26">
      <c r="E948" s="84"/>
      <c r="F948" s="84"/>
      <c r="Y948" s="84"/>
      <c r="Z948" s="84"/>
    </row>
    <row r="949" spans="5:26">
      <c r="E949" s="84"/>
      <c r="F949" s="84"/>
      <c r="Y949" s="84"/>
      <c r="Z949" s="84"/>
    </row>
    <row r="950" spans="5:26">
      <c r="E950" s="84"/>
      <c r="F950" s="84"/>
      <c r="Y950" s="84"/>
      <c r="Z950" s="84"/>
    </row>
    <row r="951" spans="5:26">
      <c r="E951" s="84"/>
      <c r="F951" s="84"/>
      <c r="Y951" s="84"/>
      <c r="Z951" s="84"/>
    </row>
    <row r="952" spans="5:26">
      <c r="E952" s="84"/>
      <c r="F952" s="84"/>
      <c r="Y952" s="84"/>
      <c r="Z952" s="84"/>
    </row>
    <row r="953" spans="5:26">
      <c r="E953" s="84"/>
      <c r="F953" s="84"/>
      <c r="Y953" s="84"/>
      <c r="Z953" s="84"/>
    </row>
    <row r="954" spans="5:26">
      <c r="E954" s="84"/>
      <c r="F954" s="84"/>
      <c r="Y954" s="84"/>
      <c r="Z954" s="84"/>
    </row>
    <row r="955" spans="5:26">
      <c r="E955" s="84"/>
      <c r="F955" s="84"/>
      <c r="Y955" s="84"/>
      <c r="Z955" s="84"/>
    </row>
    <row r="956" spans="5:26">
      <c r="E956" s="84"/>
      <c r="F956" s="84"/>
      <c r="Y956" s="84"/>
      <c r="Z956" s="84"/>
    </row>
    <row r="957" spans="5:26">
      <c r="E957" s="84"/>
      <c r="F957" s="84"/>
      <c r="Y957" s="84"/>
      <c r="Z957" s="84"/>
    </row>
    <row r="958" spans="5:26">
      <c r="E958" s="84"/>
      <c r="F958" s="84"/>
      <c r="Y958" s="84"/>
      <c r="Z958" s="84"/>
    </row>
    <row r="959" spans="5:26">
      <c r="E959" s="84"/>
      <c r="F959" s="84"/>
      <c r="Y959" s="84"/>
      <c r="Z959" s="84"/>
    </row>
    <row r="960" spans="5:26">
      <c r="E960" s="84"/>
      <c r="F960" s="84"/>
      <c r="Y960" s="84"/>
      <c r="Z960" s="84"/>
    </row>
    <row r="961" spans="5:26">
      <c r="E961" s="84"/>
      <c r="F961" s="84"/>
      <c r="Y961" s="84"/>
      <c r="Z961" s="84"/>
    </row>
    <row r="962" spans="5:26">
      <c r="E962" s="84"/>
      <c r="F962" s="84"/>
      <c r="Y962" s="84"/>
      <c r="Z962" s="84"/>
    </row>
    <row r="963" spans="5:26">
      <c r="E963" s="84"/>
      <c r="F963" s="84"/>
      <c r="Y963" s="84"/>
      <c r="Z963" s="84"/>
    </row>
    <row r="964" spans="5:26">
      <c r="E964" s="84"/>
      <c r="F964" s="84"/>
      <c r="Y964" s="84"/>
      <c r="Z964" s="84"/>
    </row>
    <row r="965" spans="5:26">
      <c r="E965" s="84"/>
      <c r="F965" s="84"/>
      <c r="Y965" s="84"/>
      <c r="Z965" s="84"/>
    </row>
    <row r="966" spans="5:26">
      <c r="E966" s="84"/>
      <c r="F966" s="84"/>
      <c r="Y966" s="84"/>
      <c r="Z966" s="84"/>
    </row>
    <row r="967" spans="5:26">
      <c r="E967" s="84"/>
      <c r="F967" s="84"/>
      <c r="Y967" s="84"/>
      <c r="Z967" s="84"/>
    </row>
    <row r="968" spans="5:26">
      <c r="E968" s="84"/>
      <c r="F968" s="84"/>
      <c r="Y968" s="84"/>
      <c r="Z968" s="84"/>
    </row>
    <row r="969" spans="5:26">
      <c r="E969" s="84"/>
      <c r="F969" s="84"/>
      <c r="Y969" s="84"/>
      <c r="Z969" s="84"/>
    </row>
    <row r="970" spans="5:26">
      <c r="E970" s="84"/>
      <c r="F970" s="84"/>
      <c r="Y970" s="84"/>
      <c r="Z970" s="84"/>
    </row>
    <row r="971" spans="5:26">
      <c r="E971" s="84"/>
      <c r="F971" s="84"/>
      <c r="Y971" s="84"/>
      <c r="Z971" s="84"/>
    </row>
    <row r="972" spans="5:26">
      <c r="E972" s="84"/>
      <c r="F972" s="84"/>
      <c r="Y972" s="84"/>
      <c r="Z972" s="84"/>
    </row>
    <row r="973" spans="5:26">
      <c r="E973" s="84"/>
      <c r="F973" s="84"/>
      <c r="Y973" s="84"/>
      <c r="Z973" s="84"/>
    </row>
    <row r="974" spans="5:26">
      <c r="E974" s="84"/>
      <c r="F974" s="84"/>
      <c r="Y974" s="84"/>
      <c r="Z974" s="84"/>
    </row>
    <row r="975" spans="5:26">
      <c r="E975" s="84"/>
      <c r="F975" s="84"/>
      <c r="Y975" s="84"/>
      <c r="Z975" s="84"/>
    </row>
    <row r="976" spans="5:26">
      <c r="E976" s="84"/>
      <c r="F976" s="84"/>
      <c r="Y976" s="84"/>
      <c r="Z976" s="84"/>
    </row>
    <row r="977" spans="5:26">
      <c r="E977" s="84"/>
      <c r="F977" s="84"/>
      <c r="Y977" s="84"/>
      <c r="Z977" s="84"/>
    </row>
    <row r="978" spans="5:26">
      <c r="E978" s="84"/>
      <c r="F978" s="84"/>
      <c r="Y978" s="84"/>
      <c r="Z978" s="84"/>
    </row>
    <row r="979" spans="5:26">
      <c r="E979" s="84"/>
      <c r="F979" s="84"/>
      <c r="Y979" s="84"/>
      <c r="Z979" s="84"/>
    </row>
    <row r="980" spans="5:26">
      <c r="E980" s="84"/>
      <c r="F980" s="84"/>
      <c r="Y980" s="84"/>
      <c r="Z980" s="84"/>
    </row>
    <row r="981" spans="5:26">
      <c r="E981" s="84"/>
      <c r="F981" s="84"/>
      <c r="Y981" s="84"/>
      <c r="Z981" s="84"/>
    </row>
    <row r="982" spans="5:26">
      <c r="E982" s="84"/>
      <c r="F982" s="84"/>
      <c r="Y982" s="84"/>
      <c r="Z982" s="84"/>
    </row>
    <row r="983" spans="5:26">
      <c r="E983" s="84"/>
      <c r="F983" s="84"/>
      <c r="Y983" s="84"/>
      <c r="Z983" s="84"/>
    </row>
    <row r="984" spans="5:26">
      <c r="E984" s="84"/>
      <c r="F984" s="84"/>
      <c r="Y984" s="84"/>
      <c r="Z984" s="84"/>
    </row>
    <row r="985" spans="5:26">
      <c r="E985" s="84"/>
      <c r="F985" s="84"/>
      <c r="Y985" s="84"/>
      <c r="Z985" s="84"/>
    </row>
    <row r="986" spans="5:26">
      <c r="E986" s="84"/>
      <c r="F986" s="84"/>
      <c r="Y986" s="84"/>
      <c r="Z986" s="84"/>
    </row>
    <row r="987" spans="5:26">
      <c r="E987" s="84"/>
      <c r="F987" s="84"/>
      <c r="Y987" s="84"/>
      <c r="Z987" s="84"/>
    </row>
    <row r="988" spans="5:26">
      <c r="E988" s="84"/>
      <c r="F988" s="84"/>
      <c r="Y988" s="84"/>
      <c r="Z988" s="84"/>
    </row>
    <row r="989" spans="5:26">
      <c r="E989" s="84"/>
      <c r="F989" s="84"/>
      <c r="Y989" s="84"/>
      <c r="Z989" s="84"/>
    </row>
    <row r="990" spans="5:26">
      <c r="E990" s="84"/>
      <c r="F990" s="84"/>
      <c r="Y990" s="84"/>
      <c r="Z990" s="84"/>
    </row>
    <row r="991" spans="5:26">
      <c r="E991" s="84"/>
      <c r="F991" s="84"/>
      <c r="Y991" s="84"/>
      <c r="Z991" s="84"/>
    </row>
    <row r="992" spans="5:26">
      <c r="E992" s="84"/>
      <c r="F992" s="84"/>
      <c r="Y992" s="84"/>
      <c r="Z992" s="84"/>
    </row>
    <row r="993" spans="5:26">
      <c r="E993" s="84"/>
      <c r="F993" s="84"/>
      <c r="Y993" s="84"/>
      <c r="Z993" s="84"/>
    </row>
    <row r="994" spans="5:26">
      <c r="E994" s="84"/>
      <c r="F994" s="84"/>
      <c r="Y994" s="84"/>
      <c r="Z994" s="84"/>
    </row>
    <row r="995" spans="5:26">
      <c r="E995" s="84"/>
      <c r="F995" s="84"/>
      <c r="Y995" s="84"/>
      <c r="Z995" s="84"/>
    </row>
    <row r="996" spans="5:26">
      <c r="E996" s="84"/>
      <c r="F996" s="84"/>
      <c r="Y996" s="84"/>
      <c r="Z996" s="84"/>
    </row>
    <row r="997" spans="5:26">
      <c r="E997" s="84"/>
      <c r="F997" s="84"/>
      <c r="Y997" s="84"/>
      <c r="Z997" s="84"/>
    </row>
    <row r="998" spans="5:26">
      <c r="E998" s="84"/>
      <c r="F998" s="84"/>
      <c r="Y998" s="84"/>
      <c r="Z998" s="84"/>
    </row>
    <row r="999" spans="5:26">
      <c r="E999" s="84"/>
      <c r="F999" s="84"/>
      <c r="Y999" s="84"/>
      <c r="Z999" s="84"/>
    </row>
    <row r="1000" spans="5:26">
      <c r="E1000" s="84"/>
      <c r="F1000" s="84"/>
      <c r="Y1000" s="84"/>
      <c r="Z1000" s="84"/>
    </row>
    <row r="1001" spans="5:26">
      <c r="E1001" s="84"/>
      <c r="F1001" s="84"/>
      <c r="Y1001" s="84"/>
      <c r="Z1001" s="84"/>
    </row>
    <row r="1002" spans="5:26">
      <c r="E1002" s="84"/>
      <c r="F1002" s="84"/>
      <c r="Y1002" s="84"/>
      <c r="Z1002" s="84"/>
    </row>
    <row r="1003" spans="5:26">
      <c r="E1003" s="84"/>
      <c r="F1003" s="84"/>
      <c r="Y1003" s="84"/>
      <c r="Z1003" s="84"/>
    </row>
    <row r="1004" spans="5:26">
      <c r="E1004" s="84"/>
      <c r="F1004" s="84"/>
      <c r="Y1004" s="84"/>
      <c r="Z1004" s="84"/>
    </row>
    <row r="1005" spans="5:26">
      <c r="E1005" s="84"/>
      <c r="F1005" s="84"/>
      <c r="Y1005" s="84"/>
      <c r="Z1005" s="84"/>
    </row>
    <row r="1006" spans="5:26">
      <c r="E1006" s="84"/>
      <c r="F1006" s="84"/>
      <c r="Y1006" s="84"/>
      <c r="Z1006" s="84"/>
    </row>
    <row r="1007" spans="5:26">
      <c r="E1007" s="84"/>
      <c r="F1007" s="84"/>
      <c r="Y1007" s="84"/>
      <c r="Z1007" s="84"/>
    </row>
    <row r="1008" spans="5:26">
      <c r="E1008" s="84"/>
      <c r="F1008" s="84"/>
      <c r="Y1008" s="84"/>
      <c r="Z1008" s="84"/>
    </row>
    <row r="1009" spans="5:26">
      <c r="E1009" s="84"/>
      <c r="F1009" s="84"/>
      <c r="Y1009" s="84"/>
      <c r="Z1009" s="84"/>
    </row>
    <row r="1010" spans="5:26">
      <c r="E1010" s="84"/>
      <c r="F1010" s="84"/>
      <c r="Y1010" s="84"/>
      <c r="Z1010" s="84"/>
    </row>
    <row r="1011" spans="5:26">
      <c r="E1011" s="84"/>
      <c r="F1011" s="84"/>
      <c r="Y1011" s="84"/>
      <c r="Z1011" s="84"/>
    </row>
    <row r="1012" spans="5:26">
      <c r="E1012" s="84"/>
      <c r="F1012" s="84"/>
      <c r="Y1012" s="84"/>
      <c r="Z1012" s="84"/>
    </row>
    <row r="1013" spans="5:26">
      <c r="E1013" s="84"/>
      <c r="F1013" s="84"/>
      <c r="Y1013" s="84"/>
      <c r="Z1013" s="84"/>
    </row>
    <row r="1014" spans="5:26">
      <c r="E1014" s="84"/>
      <c r="F1014" s="84"/>
      <c r="Y1014" s="84"/>
      <c r="Z1014" s="84"/>
    </row>
    <row r="1015" spans="5:26">
      <c r="E1015" s="84"/>
      <c r="F1015" s="84"/>
      <c r="Y1015" s="84"/>
      <c r="Z1015" s="84"/>
    </row>
    <row r="1016" spans="5:26">
      <c r="E1016" s="84"/>
      <c r="F1016" s="84"/>
      <c r="Y1016" s="84"/>
      <c r="Z1016" s="84"/>
    </row>
    <row r="1017" spans="5:26">
      <c r="E1017" s="84"/>
      <c r="F1017" s="84"/>
      <c r="Y1017" s="84"/>
      <c r="Z1017" s="84"/>
    </row>
    <row r="1018" spans="5:26">
      <c r="E1018" s="84"/>
      <c r="F1018" s="84"/>
      <c r="Y1018" s="84"/>
      <c r="Z1018" s="84"/>
    </row>
    <row r="1019" spans="5:26">
      <c r="E1019" s="84"/>
      <c r="F1019" s="84"/>
      <c r="Y1019" s="84"/>
      <c r="Z1019" s="84"/>
    </row>
    <row r="1020" spans="5:26">
      <c r="E1020" s="84"/>
      <c r="F1020" s="84"/>
      <c r="Y1020" s="84"/>
      <c r="Z1020" s="84"/>
    </row>
    <row r="1021" spans="5:26">
      <c r="E1021" s="84"/>
      <c r="F1021" s="84"/>
      <c r="Y1021" s="84"/>
      <c r="Z1021" s="84"/>
    </row>
    <row r="1022" spans="5:26">
      <c r="E1022" s="84"/>
      <c r="F1022" s="84"/>
      <c r="Y1022" s="84"/>
      <c r="Z1022" s="84"/>
    </row>
    <row r="1023" spans="5:26">
      <c r="E1023" s="84"/>
      <c r="F1023" s="84"/>
      <c r="Y1023" s="84"/>
      <c r="Z1023" s="84"/>
    </row>
    <row r="1024" spans="5:26">
      <c r="E1024" s="84"/>
      <c r="F1024" s="84"/>
      <c r="Y1024" s="84"/>
      <c r="Z1024" s="84"/>
    </row>
    <row r="1025" spans="5:26">
      <c r="E1025" s="84"/>
      <c r="F1025" s="84"/>
      <c r="Y1025" s="84"/>
      <c r="Z1025" s="84"/>
    </row>
    <row r="1026" spans="5:26">
      <c r="E1026" s="84"/>
      <c r="F1026" s="84"/>
      <c r="Y1026" s="84"/>
      <c r="Z1026" s="84"/>
    </row>
    <row r="1027" spans="5:26">
      <c r="E1027" s="84"/>
      <c r="F1027" s="84"/>
      <c r="Y1027" s="84"/>
      <c r="Z1027" s="84"/>
    </row>
    <row r="1028" spans="5:26">
      <c r="E1028" s="84"/>
      <c r="F1028" s="84"/>
      <c r="Y1028" s="84"/>
      <c r="Z1028" s="84"/>
    </row>
    <row r="1029" spans="5:26">
      <c r="E1029" s="84"/>
      <c r="F1029" s="84"/>
      <c r="Y1029" s="84"/>
      <c r="Z1029" s="84"/>
    </row>
    <row r="1030" spans="5:26">
      <c r="E1030" s="84"/>
      <c r="F1030" s="84"/>
      <c r="Y1030" s="84"/>
      <c r="Z1030" s="84"/>
    </row>
    <row r="1031" spans="5:26">
      <c r="E1031" s="84"/>
      <c r="F1031" s="84"/>
      <c r="Y1031" s="84"/>
      <c r="Z1031" s="84"/>
    </row>
    <row r="1032" spans="5:26">
      <c r="E1032" s="84"/>
      <c r="F1032" s="84"/>
      <c r="Y1032" s="84"/>
      <c r="Z1032" s="84"/>
    </row>
    <row r="1033" spans="5:26">
      <c r="E1033" s="84"/>
      <c r="F1033" s="84"/>
      <c r="Y1033" s="84"/>
      <c r="Z1033" s="84"/>
    </row>
    <row r="1034" spans="5:26">
      <c r="E1034" s="84"/>
      <c r="F1034" s="84"/>
      <c r="Y1034" s="84"/>
      <c r="Z1034" s="84"/>
    </row>
    <row r="1035" spans="5:26">
      <c r="E1035" s="84"/>
      <c r="F1035" s="84"/>
      <c r="Y1035" s="84"/>
      <c r="Z1035" s="84"/>
    </row>
    <row r="1036" spans="5:26">
      <c r="E1036" s="84"/>
      <c r="F1036" s="84"/>
      <c r="Y1036" s="84"/>
      <c r="Z1036" s="84"/>
    </row>
    <row r="1037" spans="5:26">
      <c r="E1037" s="84"/>
      <c r="F1037" s="84"/>
      <c r="Y1037" s="84"/>
      <c r="Z1037" s="84"/>
    </row>
    <row r="1038" spans="5:26">
      <c r="E1038" s="84"/>
      <c r="F1038" s="84"/>
      <c r="Y1038" s="84"/>
      <c r="Z1038" s="84"/>
    </row>
    <row r="1039" spans="5:26">
      <c r="E1039" s="84"/>
      <c r="F1039" s="84"/>
      <c r="Y1039" s="84"/>
      <c r="Z1039" s="84"/>
    </row>
    <row r="1040" spans="5:26">
      <c r="E1040" s="84"/>
      <c r="F1040" s="84"/>
      <c r="Y1040" s="84"/>
      <c r="Z1040" s="84"/>
    </row>
    <row r="1041" spans="5:26">
      <c r="E1041" s="84"/>
      <c r="F1041" s="84"/>
      <c r="Y1041" s="84"/>
      <c r="Z1041" s="84"/>
    </row>
    <row r="1042" spans="5:26">
      <c r="E1042" s="84"/>
      <c r="F1042" s="84"/>
      <c r="Y1042" s="84"/>
      <c r="Z1042" s="84"/>
    </row>
    <row r="1043" spans="5:26">
      <c r="E1043" s="84"/>
      <c r="F1043" s="84"/>
      <c r="Y1043" s="84"/>
      <c r="Z1043" s="84"/>
    </row>
    <row r="1044" spans="5:26">
      <c r="E1044" s="84"/>
      <c r="F1044" s="84"/>
      <c r="Y1044" s="84"/>
      <c r="Z1044" s="84"/>
    </row>
    <row r="1045" spans="5:26">
      <c r="E1045" s="84"/>
      <c r="F1045" s="84"/>
      <c r="Y1045" s="84"/>
      <c r="Z1045" s="84"/>
    </row>
    <row r="1046" spans="5:26">
      <c r="E1046" s="84"/>
      <c r="F1046" s="84"/>
      <c r="Y1046" s="84"/>
      <c r="Z1046" s="84"/>
    </row>
    <row r="1047" spans="5:26">
      <c r="E1047" s="84"/>
      <c r="F1047" s="84"/>
      <c r="Y1047" s="84"/>
      <c r="Z1047" s="84"/>
    </row>
    <row r="1048" spans="5:26">
      <c r="E1048" s="84"/>
      <c r="F1048" s="84"/>
      <c r="Y1048" s="84"/>
      <c r="Z1048" s="84"/>
    </row>
    <row r="1049" spans="5:26">
      <c r="E1049" s="84"/>
      <c r="F1049" s="84"/>
      <c r="Y1049" s="84"/>
      <c r="Z1049" s="84"/>
    </row>
    <row r="1050" spans="5:26">
      <c r="E1050" s="84"/>
      <c r="F1050" s="84"/>
      <c r="Y1050" s="84"/>
      <c r="Z1050" s="84"/>
    </row>
    <row r="1051" spans="5:26">
      <c r="E1051" s="84"/>
      <c r="F1051" s="84"/>
      <c r="Y1051" s="84"/>
      <c r="Z1051" s="84"/>
    </row>
    <row r="1052" spans="5:26">
      <c r="E1052" s="84"/>
      <c r="F1052" s="84"/>
      <c r="Y1052" s="84"/>
      <c r="Z1052" s="84"/>
    </row>
    <row r="1053" spans="5:26">
      <c r="E1053" s="84"/>
      <c r="F1053" s="84"/>
      <c r="Y1053" s="84"/>
      <c r="Z1053" s="84"/>
    </row>
    <row r="1054" spans="5:26">
      <c r="E1054" s="84"/>
      <c r="F1054" s="84"/>
      <c r="Y1054" s="84"/>
      <c r="Z1054" s="84"/>
    </row>
    <row r="1055" spans="5:26">
      <c r="E1055" s="84"/>
      <c r="F1055" s="84"/>
      <c r="Y1055" s="84"/>
      <c r="Z1055" s="84"/>
    </row>
    <row r="1056" spans="5:26">
      <c r="E1056" s="84"/>
      <c r="F1056" s="84"/>
      <c r="Y1056" s="84"/>
      <c r="Z1056" s="84"/>
    </row>
    <row r="1057" spans="5:26">
      <c r="E1057" s="84"/>
      <c r="F1057" s="84"/>
      <c r="Y1057" s="84"/>
      <c r="Z1057" s="84"/>
    </row>
    <row r="1058" spans="5:26">
      <c r="E1058" s="84"/>
      <c r="F1058" s="84"/>
      <c r="Y1058" s="84"/>
      <c r="Z1058" s="84"/>
    </row>
    <row r="1059" spans="5:26">
      <c r="E1059" s="84"/>
      <c r="F1059" s="84"/>
      <c r="Y1059" s="84"/>
      <c r="Z1059" s="84"/>
    </row>
    <row r="1060" spans="5:26">
      <c r="E1060" s="84"/>
      <c r="F1060" s="84"/>
      <c r="Y1060" s="84"/>
      <c r="Z1060" s="84"/>
    </row>
    <row r="1061" spans="5:26">
      <c r="E1061" s="84"/>
      <c r="F1061" s="84"/>
      <c r="Y1061" s="84"/>
      <c r="Z1061" s="84"/>
    </row>
    <row r="1062" spans="5:26">
      <c r="E1062" s="84"/>
      <c r="F1062" s="84"/>
      <c r="Y1062" s="84"/>
      <c r="Z1062" s="84"/>
    </row>
    <row r="1063" spans="5:26">
      <c r="E1063" s="84"/>
      <c r="F1063" s="84"/>
      <c r="Y1063" s="84"/>
      <c r="Z1063" s="84"/>
    </row>
    <row r="1064" spans="5:26">
      <c r="E1064" s="84"/>
      <c r="F1064" s="84"/>
      <c r="Y1064" s="84"/>
      <c r="Z1064" s="84"/>
    </row>
    <row r="1065" spans="5:26">
      <c r="E1065" s="84"/>
      <c r="F1065" s="84"/>
      <c r="Y1065" s="84"/>
      <c r="Z1065" s="84"/>
    </row>
    <row r="1066" spans="5:26">
      <c r="E1066" s="84"/>
      <c r="F1066" s="84"/>
      <c r="Y1066" s="84"/>
      <c r="Z1066" s="84"/>
    </row>
    <row r="1067" spans="5:26">
      <c r="E1067" s="84"/>
      <c r="F1067" s="84"/>
      <c r="Y1067" s="84"/>
      <c r="Z1067" s="84"/>
    </row>
    <row r="1068" spans="5:26">
      <c r="E1068" s="84"/>
      <c r="F1068" s="84"/>
      <c r="Y1068" s="84"/>
      <c r="Z1068" s="84"/>
    </row>
    <row r="1069" spans="5:26">
      <c r="E1069" s="84"/>
      <c r="F1069" s="84"/>
      <c r="Y1069" s="84"/>
      <c r="Z1069" s="84"/>
    </row>
    <row r="1070" spans="5:26">
      <c r="E1070" s="84"/>
      <c r="F1070" s="84"/>
      <c r="Y1070" s="84"/>
      <c r="Z1070" s="84"/>
    </row>
    <row r="1071" spans="5:26">
      <c r="E1071" s="84"/>
      <c r="F1071" s="84"/>
      <c r="Y1071" s="84"/>
      <c r="Z1071" s="84"/>
    </row>
    <row r="1072" spans="5:26">
      <c r="E1072" s="84"/>
      <c r="F1072" s="84"/>
      <c r="Y1072" s="84"/>
      <c r="Z1072" s="84"/>
    </row>
    <row r="1073" spans="5:26">
      <c r="E1073" s="84"/>
      <c r="F1073" s="84"/>
      <c r="Y1073" s="84"/>
      <c r="Z1073" s="84"/>
    </row>
    <row r="1074" spans="5:26">
      <c r="E1074" s="84"/>
      <c r="F1074" s="84"/>
      <c r="Y1074" s="84"/>
      <c r="Z1074" s="84"/>
    </row>
    <row r="1075" spans="5:26">
      <c r="E1075" s="84"/>
      <c r="F1075" s="84"/>
      <c r="Y1075" s="84"/>
      <c r="Z1075" s="84"/>
    </row>
    <row r="1076" spans="5:26">
      <c r="E1076" s="84"/>
      <c r="F1076" s="84"/>
      <c r="Y1076" s="84"/>
      <c r="Z1076" s="84"/>
    </row>
    <row r="1077" spans="5:26">
      <c r="E1077" s="84"/>
      <c r="F1077" s="84"/>
      <c r="Y1077" s="84"/>
      <c r="Z1077" s="84"/>
    </row>
    <row r="1078" spans="5:26">
      <c r="E1078" s="84"/>
      <c r="F1078" s="84"/>
      <c r="Y1078" s="84"/>
      <c r="Z1078" s="84"/>
    </row>
    <row r="1079" spans="5:26">
      <c r="E1079" s="84"/>
      <c r="F1079" s="84"/>
      <c r="Y1079" s="84"/>
      <c r="Z1079" s="84"/>
    </row>
    <row r="1080" spans="5:26">
      <c r="E1080" s="84"/>
      <c r="F1080" s="84"/>
      <c r="Y1080" s="84"/>
      <c r="Z1080" s="84"/>
    </row>
    <row r="1081" spans="5:26">
      <c r="E1081" s="84"/>
      <c r="F1081" s="84"/>
      <c r="Y1081" s="84"/>
      <c r="Z1081" s="84"/>
    </row>
    <row r="1082" spans="5:26">
      <c r="E1082" s="84"/>
      <c r="F1082" s="84"/>
      <c r="Y1082" s="84"/>
      <c r="Z1082" s="84"/>
    </row>
    <row r="1083" spans="5:26">
      <c r="E1083" s="84"/>
      <c r="F1083" s="84"/>
      <c r="Y1083" s="84"/>
      <c r="Z1083" s="84"/>
    </row>
    <row r="1084" spans="5:26">
      <c r="E1084" s="84"/>
      <c r="F1084" s="84"/>
      <c r="Y1084" s="84"/>
      <c r="Z1084" s="84"/>
    </row>
    <row r="1085" spans="5:26">
      <c r="E1085" s="84"/>
      <c r="F1085" s="84"/>
      <c r="Y1085" s="84"/>
      <c r="Z1085" s="84"/>
    </row>
    <row r="1086" spans="5:26">
      <c r="E1086" s="84"/>
      <c r="F1086" s="84"/>
      <c r="Y1086" s="84"/>
      <c r="Z1086" s="84"/>
    </row>
    <row r="1087" spans="5:26">
      <c r="E1087" s="84"/>
      <c r="F1087" s="84"/>
      <c r="Y1087" s="84"/>
      <c r="Z1087" s="84"/>
    </row>
    <row r="1088" spans="5:26">
      <c r="E1088" s="84"/>
      <c r="F1088" s="84"/>
      <c r="Y1088" s="84"/>
      <c r="Z1088" s="84"/>
    </row>
    <row r="1089" spans="5:26">
      <c r="E1089" s="84"/>
      <c r="F1089" s="84"/>
      <c r="Y1089" s="84"/>
      <c r="Z1089" s="84"/>
    </row>
    <row r="1090" spans="5:26">
      <c r="E1090" s="84"/>
      <c r="F1090" s="84"/>
      <c r="Y1090" s="84"/>
      <c r="Z1090" s="84"/>
    </row>
    <row r="1091" spans="5:26">
      <c r="E1091" s="84"/>
      <c r="F1091" s="84"/>
      <c r="Y1091" s="84"/>
      <c r="Z1091" s="84"/>
    </row>
    <row r="1092" spans="5:26">
      <c r="E1092" s="84"/>
      <c r="F1092" s="84"/>
      <c r="Y1092" s="84"/>
      <c r="Z1092" s="84"/>
    </row>
    <row r="1093" spans="5:26">
      <c r="E1093" s="84"/>
      <c r="F1093" s="84"/>
      <c r="Y1093" s="84"/>
      <c r="Z1093" s="84"/>
    </row>
    <row r="1094" spans="5:26">
      <c r="E1094" s="84"/>
      <c r="F1094" s="84"/>
      <c r="Y1094" s="84"/>
      <c r="Z1094" s="84"/>
    </row>
    <row r="1095" spans="5:26">
      <c r="E1095" s="84"/>
      <c r="F1095" s="84"/>
      <c r="Y1095" s="84"/>
      <c r="Z1095" s="84"/>
    </row>
    <row r="1096" spans="5:26">
      <c r="E1096" s="84"/>
      <c r="F1096" s="84"/>
      <c r="Y1096" s="84"/>
      <c r="Z1096" s="84"/>
    </row>
    <row r="1097" spans="5:26">
      <c r="E1097" s="84"/>
      <c r="F1097" s="84"/>
      <c r="Y1097" s="84"/>
      <c r="Z1097" s="84"/>
    </row>
    <row r="1098" spans="5:26">
      <c r="E1098" s="84"/>
      <c r="F1098" s="84"/>
      <c r="Y1098" s="84"/>
      <c r="Z1098" s="84"/>
    </row>
    <row r="1099" spans="5:26">
      <c r="E1099" s="84"/>
      <c r="F1099" s="84"/>
      <c r="Y1099" s="84"/>
      <c r="Z1099" s="84"/>
    </row>
    <row r="1100" spans="5:26">
      <c r="E1100" s="84"/>
      <c r="F1100" s="84"/>
      <c r="Y1100" s="84"/>
      <c r="Z1100" s="84"/>
    </row>
    <row r="1101" spans="5:26">
      <c r="E1101" s="84"/>
      <c r="F1101" s="84"/>
      <c r="Y1101" s="84"/>
      <c r="Z1101" s="84"/>
    </row>
    <row r="1102" spans="5:26">
      <c r="E1102" s="84"/>
      <c r="F1102" s="84"/>
      <c r="Y1102" s="84"/>
      <c r="Z1102" s="84"/>
    </row>
    <row r="1103" spans="5:26">
      <c r="E1103" s="84"/>
      <c r="F1103" s="84"/>
      <c r="Y1103" s="84"/>
      <c r="Z1103" s="84"/>
    </row>
    <row r="1104" spans="5:26">
      <c r="E1104" s="84"/>
      <c r="F1104" s="84"/>
      <c r="Y1104" s="84"/>
      <c r="Z1104" s="84"/>
    </row>
    <row r="1105" spans="5:26">
      <c r="E1105" s="84"/>
      <c r="F1105" s="84"/>
      <c r="Y1105" s="84"/>
      <c r="Z1105" s="84"/>
    </row>
    <row r="1106" spans="5:26">
      <c r="E1106" s="84"/>
      <c r="F1106" s="84"/>
      <c r="Y1106" s="84"/>
      <c r="Z1106" s="84"/>
    </row>
    <row r="1107" spans="5:26">
      <c r="E1107" s="84"/>
      <c r="F1107" s="84"/>
      <c r="Y1107" s="84"/>
      <c r="Z1107" s="84"/>
    </row>
    <row r="1108" spans="5:26">
      <c r="E1108" s="84"/>
      <c r="F1108" s="84"/>
      <c r="Y1108" s="84"/>
      <c r="Z1108" s="84"/>
    </row>
    <row r="1109" spans="5:26">
      <c r="E1109" s="84"/>
      <c r="F1109" s="84"/>
      <c r="Y1109" s="84"/>
      <c r="Z1109" s="84"/>
    </row>
    <row r="1110" spans="5:26">
      <c r="E1110" s="84"/>
      <c r="F1110" s="84"/>
      <c r="Y1110" s="84"/>
      <c r="Z1110" s="84"/>
    </row>
    <row r="1111" spans="5:26">
      <c r="E1111" s="84"/>
      <c r="F1111" s="84"/>
      <c r="Y1111" s="84"/>
      <c r="Z1111" s="84"/>
    </row>
    <row r="1112" spans="5:26">
      <c r="E1112" s="84"/>
      <c r="F1112" s="84"/>
      <c r="Y1112" s="84"/>
      <c r="Z1112" s="84"/>
    </row>
    <row r="1113" spans="5:26">
      <c r="E1113" s="84"/>
      <c r="F1113" s="84"/>
      <c r="Y1113" s="84"/>
      <c r="Z1113" s="84"/>
    </row>
    <row r="1114" spans="5:26">
      <c r="E1114" s="84"/>
      <c r="F1114" s="84"/>
      <c r="Y1114" s="84"/>
      <c r="Z1114" s="84"/>
    </row>
    <row r="1115" spans="5:26">
      <c r="E1115" s="84"/>
      <c r="F1115" s="84"/>
      <c r="Y1115" s="84"/>
      <c r="Z1115" s="84"/>
    </row>
    <row r="1116" spans="5:26">
      <c r="E1116" s="84"/>
      <c r="F1116" s="84"/>
      <c r="Y1116" s="84"/>
      <c r="Z1116" s="84"/>
    </row>
    <row r="1117" spans="5:26">
      <c r="E1117" s="84"/>
      <c r="F1117" s="84"/>
      <c r="Y1117" s="84"/>
      <c r="Z1117" s="84"/>
    </row>
    <row r="1118" spans="5:26">
      <c r="E1118" s="84"/>
      <c r="F1118" s="84"/>
      <c r="Y1118" s="84"/>
      <c r="Z1118" s="84"/>
    </row>
    <row r="1119" spans="5:26">
      <c r="E1119" s="84"/>
      <c r="F1119" s="84"/>
      <c r="Y1119" s="84"/>
      <c r="Z1119" s="84"/>
    </row>
    <row r="1120" spans="5:26">
      <c r="E1120" s="84"/>
      <c r="F1120" s="84"/>
      <c r="Y1120" s="84"/>
      <c r="Z1120" s="84"/>
    </row>
    <row r="1121" spans="5:26">
      <c r="E1121" s="84"/>
      <c r="F1121" s="84"/>
      <c r="Y1121" s="84"/>
      <c r="Z1121" s="84"/>
    </row>
    <row r="1122" spans="5:26">
      <c r="E1122" s="84"/>
      <c r="F1122" s="84"/>
      <c r="Y1122" s="84"/>
      <c r="Z1122" s="84"/>
    </row>
    <row r="1123" spans="5:26">
      <c r="E1123" s="84"/>
      <c r="F1123" s="84"/>
      <c r="Y1123" s="84"/>
      <c r="Z1123" s="84"/>
    </row>
    <row r="1124" spans="5:26">
      <c r="E1124" s="84"/>
      <c r="F1124" s="84"/>
      <c r="Y1124" s="84"/>
      <c r="Z1124" s="84"/>
    </row>
    <row r="1125" spans="5:26">
      <c r="E1125" s="84"/>
      <c r="F1125" s="84"/>
      <c r="Y1125" s="84"/>
      <c r="Z1125" s="84"/>
    </row>
    <row r="1126" spans="5:26">
      <c r="E1126" s="84"/>
      <c r="F1126" s="84"/>
      <c r="Y1126" s="84"/>
      <c r="Z1126" s="84"/>
    </row>
    <row r="1127" spans="5:26">
      <c r="E1127" s="84"/>
      <c r="F1127" s="84"/>
      <c r="Y1127" s="84"/>
      <c r="Z1127" s="84"/>
    </row>
    <row r="1128" spans="5:26">
      <c r="E1128" s="84"/>
      <c r="F1128" s="84"/>
      <c r="Y1128" s="84"/>
      <c r="Z1128" s="84"/>
    </row>
    <row r="1129" spans="5:26">
      <c r="E1129" s="84"/>
      <c r="F1129" s="84"/>
      <c r="Y1129" s="84"/>
      <c r="Z1129" s="84"/>
    </row>
    <row r="1130" spans="5:26">
      <c r="E1130" s="84"/>
      <c r="F1130" s="84"/>
      <c r="Y1130" s="84"/>
      <c r="Z1130" s="84"/>
    </row>
    <row r="1131" spans="5:26">
      <c r="E1131" s="84"/>
      <c r="F1131" s="84"/>
      <c r="Y1131" s="84"/>
      <c r="Z1131" s="84"/>
    </row>
    <row r="1132" spans="5:26">
      <c r="E1132" s="84"/>
      <c r="F1132" s="84"/>
      <c r="Y1132" s="84"/>
      <c r="Z1132" s="84"/>
    </row>
    <row r="1133" spans="5:26">
      <c r="E1133" s="84"/>
      <c r="F1133" s="84"/>
      <c r="Y1133" s="84"/>
      <c r="Z1133" s="84"/>
    </row>
    <row r="1134" spans="5:26">
      <c r="E1134" s="84"/>
      <c r="F1134" s="84"/>
      <c r="Y1134" s="84"/>
      <c r="Z1134" s="84"/>
    </row>
    <row r="1135" spans="5:26">
      <c r="E1135" s="84"/>
      <c r="F1135" s="84"/>
      <c r="Y1135" s="84"/>
      <c r="Z1135" s="84"/>
    </row>
    <row r="1136" spans="5:26">
      <c r="E1136" s="84"/>
      <c r="F1136" s="84"/>
      <c r="Y1136" s="84"/>
      <c r="Z1136" s="84"/>
    </row>
    <row r="1137" spans="5:26">
      <c r="E1137" s="84"/>
      <c r="F1137" s="84"/>
      <c r="Y1137" s="84"/>
      <c r="Z1137" s="84"/>
    </row>
    <row r="1138" spans="5:26">
      <c r="E1138" s="84"/>
      <c r="F1138" s="84"/>
      <c r="Y1138" s="84"/>
      <c r="Z1138" s="84"/>
    </row>
    <row r="1139" spans="5:26">
      <c r="E1139" s="84"/>
      <c r="F1139" s="84"/>
      <c r="Y1139" s="84"/>
      <c r="Z1139" s="84"/>
    </row>
    <row r="1140" spans="5:26">
      <c r="E1140" s="84"/>
      <c r="F1140" s="84"/>
      <c r="Y1140" s="84"/>
      <c r="Z1140" s="84"/>
    </row>
    <row r="1141" spans="5:26">
      <c r="E1141" s="84"/>
      <c r="F1141" s="84"/>
      <c r="Y1141" s="84"/>
      <c r="Z1141" s="84"/>
    </row>
    <row r="1142" spans="5:26">
      <c r="E1142" s="84"/>
      <c r="F1142" s="84"/>
      <c r="Y1142" s="84"/>
      <c r="Z1142" s="84"/>
    </row>
    <row r="1143" spans="5:26">
      <c r="E1143" s="84"/>
      <c r="F1143" s="84"/>
      <c r="Y1143" s="84"/>
      <c r="Z1143" s="84"/>
    </row>
    <row r="1144" spans="5:26">
      <c r="E1144" s="84"/>
      <c r="F1144" s="84"/>
      <c r="Y1144" s="84"/>
      <c r="Z1144" s="84"/>
    </row>
    <row r="1145" spans="5:26">
      <c r="E1145" s="84"/>
      <c r="F1145" s="84"/>
      <c r="Y1145" s="84"/>
      <c r="Z1145" s="84"/>
    </row>
    <row r="1146" spans="5:26">
      <c r="E1146" s="84"/>
      <c r="F1146" s="84"/>
      <c r="Y1146" s="84"/>
      <c r="Z1146" s="84"/>
    </row>
    <row r="1147" spans="5:26">
      <c r="E1147" s="84"/>
      <c r="F1147" s="84"/>
      <c r="Y1147" s="84"/>
      <c r="Z1147" s="84"/>
    </row>
    <row r="1148" spans="5:26">
      <c r="E1148" s="84"/>
      <c r="F1148" s="84"/>
      <c r="Y1148" s="84"/>
      <c r="Z1148" s="84"/>
    </row>
    <row r="1149" spans="5:26">
      <c r="E1149" s="84"/>
      <c r="F1149" s="84"/>
      <c r="Y1149" s="84"/>
      <c r="Z1149" s="84"/>
    </row>
    <row r="1150" spans="5:26">
      <c r="E1150" s="84"/>
      <c r="F1150" s="84"/>
      <c r="Y1150" s="84"/>
      <c r="Z1150" s="84"/>
    </row>
    <row r="1151" spans="5:26">
      <c r="E1151" s="84"/>
      <c r="F1151" s="84"/>
      <c r="Y1151" s="84"/>
      <c r="Z1151" s="84"/>
    </row>
    <row r="1152" spans="5:26">
      <c r="E1152" s="84"/>
      <c r="F1152" s="84"/>
      <c r="Y1152" s="84"/>
      <c r="Z1152" s="84"/>
    </row>
    <row r="1153" spans="5:26">
      <c r="E1153" s="84"/>
      <c r="F1153" s="84"/>
      <c r="Y1153" s="84"/>
      <c r="Z1153" s="84"/>
    </row>
    <row r="1154" spans="5:26">
      <c r="E1154" s="84"/>
      <c r="F1154" s="84"/>
      <c r="Y1154" s="84"/>
      <c r="Z1154" s="84"/>
    </row>
    <row r="1155" spans="5:26">
      <c r="E1155" s="84"/>
      <c r="F1155" s="84"/>
      <c r="Y1155" s="84"/>
      <c r="Z1155" s="84"/>
    </row>
    <row r="1156" spans="5:26">
      <c r="E1156" s="84"/>
      <c r="F1156" s="84"/>
      <c r="Y1156" s="84"/>
      <c r="Z1156" s="84"/>
    </row>
    <row r="1157" spans="5:26">
      <c r="E1157" s="84"/>
      <c r="F1157" s="84"/>
      <c r="Y1157" s="84"/>
      <c r="Z1157" s="84"/>
    </row>
    <row r="1158" spans="5:26">
      <c r="E1158" s="84"/>
      <c r="F1158" s="84"/>
      <c r="Y1158" s="84"/>
      <c r="Z1158" s="84"/>
    </row>
    <row r="1159" spans="5:26">
      <c r="E1159" s="84"/>
      <c r="F1159" s="84"/>
      <c r="Y1159" s="84"/>
      <c r="Z1159" s="84"/>
    </row>
    <row r="1160" spans="5:26">
      <c r="E1160" s="84"/>
      <c r="F1160" s="84"/>
      <c r="Y1160" s="84"/>
      <c r="Z1160" s="84"/>
    </row>
    <row r="1161" spans="5:26">
      <c r="E1161" s="84"/>
      <c r="F1161" s="84"/>
      <c r="Y1161" s="84"/>
      <c r="Z1161" s="84"/>
    </row>
    <row r="1162" spans="5:26">
      <c r="E1162" s="84"/>
      <c r="F1162" s="84"/>
      <c r="Y1162" s="84"/>
      <c r="Z1162" s="84"/>
    </row>
    <row r="1163" spans="5:26">
      <c r="E1163" s="84"/>
      <c r="F1163" s="84"/>
      <c r="Y1163" s="84"/>
      <c r="Z1163" s="84"/>
    </row>
    <row r="1164" spans="5:26">
      <c r="E1164" s="84"/>
      <c r="F1164" s="84"/>
      <c r="Y1164" s="84"/>
      <c r="Z1164" s="84"/>
    </row>
    <row r="1165" spans="5:26">
      <c r="E1165" s="84"/>
      <c r="F1165" s="84"/>
      <c r="Y1165" s="84"/>
      <c r="Z1165" s="84"/>
    </row>
    <row r="1166" spans="5:26">
      <c r="E1166" s="84"/>
      <c r="F1166" s="84"/>
      <c r="Y1166" s="84"/>
      <c r="Z1166" s="84"/>
    </row>
    <row r="1167" spans="5:26">
      <c r="E1167" s="84"/>
      <c r="F1167" s="84"/>
      <c r="Y1167" s="84"/>
      <c r="Z1167" s="84"/>
    </row>
    <row r="1168" spans="5:26">
      <c r="E1168" s="84"/>
      <c r="F1168" s="84"/>
      <c r="Y1168" s="84"/>
      <c r="Z1168" s="84"/>
    </row>
    <row r="1169" spans="5:26">
      <c r="E1169" s="84"/>
      <c r="F1169" s="84"/>
      <c r="Y1169" s="84"/>
      <c r="Z1169" s="84"/>
    </row>
    <row r="1170" spans="5:26">
      <c r="E1170" s="84"/>
      <c r="F1170" s="84"/>
      <c r="Y1170" s="84"/>
      <c r="Z1170" s="84"/>
    </row>
    <row r="1171" spans="5:26">
      <c r="E1171" s="84"/>
      <c r="F1171" s="84"/>
      <c r="Y1171" s="84"/>
      <c r="Z1171" s="84"/>
    </row>
    <row r="1172" spans="5:26">
      <c r="E1172" s="84"/>
      <c r="F1172" s="84"/>
      <c r="Y1172" s="84"/>
      <c r="Z1172" s="84"/>
    </row>
    <row r="1173" spans="5:26">
      <c r="E1173" s="84"/>
      <c r="F1173" s="84"/>
      <c r="Y1173" s="84"/>
      <c r="Z1173" s="84"/>
    </row>
    <row r="1174" spans="5:26">
      <c r="E1174" s="84"/>
      <c r="F1174" s="84"/>
      <c r="Y1174" s="84"/>
      <c r="Z1174" s="84"/>
    </row>
    <row r="1175" spans="5:26">
      <c r="E1175" s="84"/>
      <c r="F1175" s="84"/>
      <c r="Y1175" s="84"/>
      <c r="Z1175" s="84"/>
    </row>
    <row r="1176" spans="5:26">
      <c r="E1176" s="84"/>
      <c r="F1176" s="84"/>
      <c r="Y1176" s="84"/>
      <c r="Z1176" s="84"/>
    </row>
    <row r="1177" spans="5:26">
      <c r="E1177" s="84"/>
      <c r="F1177" s="84"/>
      <c r="Y1177" s="84"/>
      <c r="Z1177" s="84"/>
    </row>
    <row r="1178" spans="5:26">
      <c r="E1178" s="84"/>
      <c r="F1178" s="84"/>
      <c r="Y1178" s="84"/>
      <c r="Z1178" s="84"/>
    </row>
    <row r="1179" spans="5:26">
      <c r="E1179" s="84"/>
      <c r="F1179" s="84"/>
      <c r="Y1179" s="84"/>
      <c r="Z1179" s="84"/>
    </row>
    <row r="1180" spans="5:26">
      <c r="E1180" s="84"/>
      <c r="F1180" s="84"/>
      <c r="Y1180" s="84"/>
      <c r="Z1180" s="84"/>
    </row>
    <row r="1181" spans="5:26">
      <c r="E1181" s="84"/>
      <c r="F1181" s="84"/>
      <c r="Y1181" s="84"/>
      <c r="Z1181" s="84"/>
    </row>
    <row r="1182" spans="5:26">
      <c r="E1182" s="84"/>
      <c r="F1182" s="84"/>
      <c r="Y1182" s="84"/>
      <c r="Z1182" s="84"/>
    </row>
    <row r="1183" spans="5:26">
      <c r="E1183" s="84"/>
      <c r="F1183" s="84"/>
      <c r="Y1183" s="84"/>
      <c r="Z1183" s="84"/>
    </row>
    <row r="1184" spans="5:26">
      <c r="E1184" s="84"/>
      <c r="F1184" s="84"/>
      <c r="Y1184" s="84"/>
      <c r="Z1184" s="84"/>
    </row>
    <row r="1185" spans="5:26">
      <c r="E1185" s="84"/>
      <c r="F1185" s="84"/>
      <c r="Y1185" s="84"/>
      <c r="Z1185" s="84"/>
    </row>
    <row r="1186" spans="5:26">
      <c r="E1186" s="84"/>
      <c r="F1186" s="84"/>
      <c r="Y1186" s="84"/>
      <c r="Z1186" s="84"/>
    </row>
    <row r="1187" spans="5:26">
      <c r="E1187" s="84"/>
      <c r="F1187" s="84"/>
      <c r="Y1187" s="84"/>
      <c r="Z1187" s="84"/>
    </row>
    <row r="1188" spans="5:26">
      <c r="E1188" s="84"/>
      <c r="F1188" s="84"/>
      <c r="Y1188" s="84"/>
      <c r="Z1188" s="84"/>
    </row>
    <row r="1189" spans="5:26">
      <c r="E1189" s="84"/>
      <c r="F1189" s="84"/>
      <c r="Y1189" s="84"/>
      <c r="Z1189" s="84"/>
    </row>
    <row r="1190" spans="5:26">
      <c r="E1190" s="84"/>
      <c r="F1190" s="84"/>
      <c r="Y1190" s="84"/>
      <c r="Z1190" s="84"/>
    </row>
    <row r="1191" spans="5:26">
      <c r="E1191" s="84"/>
      <c r="F1191" s="84"/>
      <c r="Y1191" s="84"/>
      <c r="Z1191" s="84"/>
    </row>
    <row r="1192" spans="5:26">
      <c r="E1192" s="84"/>
      <c r="F1192" s="84"/>
      <c r="Y1192" s="84"/>
      <c r="Z1192" s="84"/>
    </row>
    <row r="1193" spans="5:26">
      <c r="E1193" s="84"/>
      <c r="F1193" s="84"/>
      <c r="Y1193" s="84"/>
      <c r="Z1193" s="84"/>
    </row>
    <row r="1194" spans="5:26">
      <c r="E1194" s="84"/>
      <c r="F1194" s="84"/>
      <c r="Y1194" s="84"/>
      <c r="Z1194" s="84"/>
    </row>
    <row r="1195" spans="5:26">
      <c r="E1195" s="84"/>
      <c r="F1195" s="84"/>
      <c r="Y1195" s="84"/>
      <c r="Z1195" s="84"/>
    </row>
    <row r="1196" spans="5:26">
      <c r="E1196" s="84"/>
      <c r="F1196" s="84"/>
      <c r="Y1196" s="84"/>
      <c r="Z1196" s="84"/>
    </row>
    <row r="1197" spans="5:26">
      <c r="E1197" s="84"/>
      <c r="F1197" s="84"/>
      <c r="Y1197" s="84"/>
      <c r="Z1197" s="84"/>
    </row>
    <row r="1198" spans="5:26">
      <c r="E1198" s="84"/>
      <c r="F1198" s="84"/>
      <c r="Y1198" s="84"/>
      <c r="Z1198" s="84"/>
    </row>
    <row r="1199" spans="5:26">
      <c r="E1199" s="84"/>
      <c r="F1199" s="84"/>
      <c r="Y1199" s="84"/>
      <c r="Z1199" s="84"/>
    </row>
    <row r="1200" spans="5:26">
      <c r="E1200" s="84"/>
      <c r="F1200" s="84"/>
      <c r="Y1200" s="84"/>
      <c r="Z1200" s="84"/>
    </row>
    <row r="1201" spans="5:26">
      <c r="E1201" s="84"/>
      <c r="F1201" s="84"/>
      <c r="Y1201" s="84"/>
      <c r="Z1201" s="84"/>
    </row>
    <row r="1202" spans="5:26">
      <c r="E1202" s="84"/>
      <c r="F1202" s="84"/>
      <c r="Y1202" s="84"/>
      <c r="Z1202" s="84"/>
    </row>
    <row r="1203" spans="5:26">
      <c r="E1203" s="84"/>
      <c r="F1203" s="84"/>
      <c r="Y1203" s="84"/>
      <c r="Z1203" s="84"/>
    </row>
    <row r="1204" spans="5:26">
      <c r="E1204" s="84"/>
      <c r="F1204" s="84"/>
      <c r="Y1204" s="84"/>
      <c r="Z1204" s="84"/>
    </row>
    <row r="1205" spans="5:26">
      <c r="E1205" s="84"/>
      <c r="F1205" s="84"/>
      <c r="Y1205" s="84"/>
      <c r="Z1205" s="84"/>
    </row>
    <row r="1206" spans="5:26">
      <c r="E1206" s="84"/>
      <c r="F1206" s="84"/>
      <c r="Y1206" s="84"/>
      <c r="Z1206" s="84"/>
    </row>
    <row r="1207" spans="5:26">
      <c r="E1207" s="84"/>
      <c r="F1207" s="84"/>
      <c r="Y1207" s="84"/>
      <c r="Z1207" s="84"/>
    </row>
    <row r="1208" spans="5:26">
      <c r="E1208" s="84"/>
      <c r="F1208" s="84"/>
      <c r="Y1208" s="84"/>
      <c r="Z1208" s="84"/>
    </row>
    <row r="1209" spans="5:26">
      <c r="E1209" s="84"/>
      <c r="F1209" s="84"/>
      <c r="Y1209" s="84"/>
      <c r="Z1209" s="84"/>
    </row>
    <row r="1210" spans="5:26">
      <c r="E1210" s="84"/>
      <c r="F1210" s="84"/>
      <c r="Y1210" s="84"/>
      <c r="Z1210" s="84"/>
    </row>
    <row r="1211" spans="5:26">
      <c r="E1211" s="84"/>
      <c r="F1211" s="84"/>
      <c r="Y1211" s="84"/>
      <c r="Z1211" s="84"/>
    </row>
    <row r="1212" spans="5:26">
      <c r="E1212" s="84"/>
      <c r="F1212" s="84"/>
      <c r="Y1212" s="84"/>
      <c r="Z1212" s="84"/>
    </row>
    <row r="1213" spans="5:26">
      <c r="E1213" s="84"/>
      <c r="F1213" s="84"/>
      <c r="Y1213" s="84"/>
      <c r="Z1213" s="84"/>
    </row>
    <row r="1214" spans="5:26">
      <c r="E1214" s="84"/>
      <c r="F1214" s="84"/>
      <c r="Y1214" s="84"/>
      <c r="Z1214" s="84"/>
    </row>
    <row r="1215" spans="5:26">
      <c r="E1215" s="84"/>
      <c r="F1215" s="84"/>
      <c r="Y1215" s="84"/>
      <c r="Z1215" s="84"/>
    </row>
    <row r="1216" spans="5:26">
      <c r="E1216" s="84"/>
      <c r="F1216" s="84"/>
      <c r="Y1216" s="84"/>
      <c r="Z1216" s="84"/>
    </row>
    <row r="1217" spans="5:26">
      <c r="E1217" s="84"/>
      <c r="F1217" s="84"/>
      <c r="Y1217" s="84"/>
      <c r="Z1217" s="84"/>
    </row>
    <row r="1218" spans="5:26">
      <c r="E1218" s="84"/>
      <c r="F1218" s="84"/>
      <c r="Y1218" s="84"/>
      <c r="Z1218" s="84"/>
    </row>
    <row r="1219" spans="5:26">
      <c r="E1219" s="84"/>
      <c r="F1219" s="84"/>
      <c r="Y1219" s="84"/>
      <c r="Z1219" s="84"/>
    </row>
    <row r="1220" spans="5:26">
      <c r="E1220" s="84"/>
      <c r="F1220" s="84"/>
      <c r="Y1220" s="84"/>
      <c r="Z1220" s="84"/>
    </row>
    <row r="1221" spans="5:26">
      <c r="E1221" s="84"/>
      <c r="F1221" s="84"/>
      <c r="Y1221" s="84"/>
      <c r="Z1221" s="84"/>
    </row>
    <row r="1222" spans="5:26">
      <c r="E1222" s="84"/>
      <c r="F1222" s="84"/>
      <c r="Y1222" s="84"/>
      <c r="Z1222" s="84"/>
    </row>
    <row r="1223" spans="5:26">
      <c r="E1223" s="84"/>
      <c r="F1223" s="84"/>
      <c r="Y1223" s="84"/>
      <c r="Z1223" s="84"/>
    </row>
    <row r="1224" spans="5:26">
      <c r="E1224" s="84"/>
      <c r="F1224" s="84"/>
      <c r="Y1224" s="84"/>
      <c r="Z1224" s="84"/>
    </row>
    <row r="1225" spans="5:26">
      <c r="E1225" s="84"/>
      <c r="F1225" s="84"/>
      <c r="Y1225" s="84"/>
      <c r="Z1225" s="84"/>
    </row>
    <row r="1226" spans="5:26">
      <c r="E1226" s="84"/>
      <c r="F1226" s="84"/>
      <c r="Y1226" s="84"/>
      <c r="Z1226" s="84"/>
    </row>
    <row r="1227" spans="5:26">
      <c r="E1227" s="84"/>
      <c r="F1227" s="84"/>
      <c r="Y1227" s="84"/>
      <c r="Z1227" s="84"/>
    </row>
    <row r="1228" spans="5:26">
      <c r="E1228" s="84"/>
      <c r="F1228" s="84"/>
      <c r="Y1228" s="84"/>
      <c r="Z1228" s="84"/>
    </row>
    <row r="1229" spans="5:26">
      <c r="E1229" s="84"/>
      <c r="F1229" s="84"/>
      <c r="Y1229" s="84"/>
      <c r="Z1229" s="84"/>
    </row>
    <row r="1230" spans="5:26">
      <c r="E1230" s="84"/>
      <c r="F1230" s="84"/>
      <c r="Y1230" s="84"/>
      <c r="Z1230" s="84"/>
    </row>
    <row r="1231" spans="5:26">
      <c r="E1231" s="84"/>
      <c r="F1231" s="84"/>
      <c r="Y1231" s="84"/>
      <c r="Z1231" s="84"/>
    </row>
    <row r="1232" spans="5:26">
      <c r="E1232" s="84"/>
      <c r="F1232" s="84"/>
      <c r="Y1232" s="84"/>
      <c r="Z1232" s="84"/>
    </row>
    <row r="1233" spans="5:26">
      <c r="E1233" s="84"/>
      <c r="F1233" s="84"/>
      <c r="Y1233" s="84"/>
      <c r="Z1233" s="84"/>
    </row>
    <row r="1234" spans="5:26">
      <c r="E1234" s="84"/>
      <c r="F1234" s="84"/>
      <c r="Y1234" s="84"/>
      <c r="Z1234" s="84"/>
    </row>
    <row r="1235" spans="5:26">
      <c r="E1235" s="84"/>
      <c r="F1235" s="84"/>
      <c r="Y1235" s="84"/>
      <c r="Z1235" s="84"/>
    </row>
    <row r="1236" spans="5:26">
      <c r="E1236" s="84"/>
      <c r="F1236" s="84"/>
      <c r="Y1236" s="84"/>
      <c r="Z1236" s="84"/>
    </row>
    <row r="1237" spans="5:26">
      <c r="E1237" s="84"/>
      <c r="F1237" s="84"/>
      <c r="Y1237" s="84"/>
      <c r="Z1237" s="84"/>
    </row>
    <row r="1238" spans="5:26">
      <c r="E1238" s="84"/>
      <c r="F1238" s="84"/>
      <c r="Y1238" s="84"/>
      <c r="Z1238" s="84"/>
    </row>
    <row r="1239" spans="5:26">
      <c r="E1239" s="84"/>
      <c r="F1239" s="84"/>
      <c r="Y1239" s="84"/>
      <c r="Z1239" s="84"/>
    </row>
    <row r="1240" spans="5:26">
      <c r="E1240" s="84"/>
      <c r="F1240" s="84"/>
      <c r="Y1240" s="84"/>
      <c r="Z1240" s="84"/>
    </row>
    <row r="1241" spans="5:26">
      <c r="E1241" s="84"/>
      <c r="F1241" s="84"/>
      <c r="Y1241" s="84"/>
      <c r="Z1241" s="84"/>
    </row>
    <row r="1242" spans="5:26">
      <c r="E1242" s="84"/>
      <c r="F1242" s="84"/>
      <c r="Y1242" s="84"/>
      <c r="Z1242" s="84"/>
    </row>
    <row r="1243" spans="5:26">
      <c r="E1243" s="84"/>
      <c r="F1243" s="84"/>
      <c r="Y1243" s="84"/>
      <c r="Z1243" s="84"/>
    </row>
    <row r="1244" spans="5:26">
      <c r="E1244" s="84"/>
      <c r="F1244" s="84"/>
      <c r="Y1244" s="84"/>
      <c r="Z1244" s="84"/>
    </row>
    <row r="1245" spans="5:26">
      <c r="E1245" s="84"/>
      <c r="F1245" s="84"/>
      <c r="Y1245" s="84"/>
      <c r="Z1245" s="84"/>
    </row>
    <row r="1246" spans="5:26">
      <c r="E1246" s="84"/>
      <c r="F1246" s="84"/>
      <c r="Y1246" s="84"/>
      <c r="Z1246" s="84"/>
    </row>
    <row r="1247" spans="5:26">
      <c r="E1247" s="84"/>
      <c r="F1247" s="84"/>
      <c r="Y1247" s="84"/>
      <c r="Z1247" s="84"/>
    </row>
    <row r="1248" spans="5:26">
      <c r="E1248" s="84"/>
      <c r="F1248" s="84"/>
      <c r="Y1248" s="84"/>
      <c r="Z1248" s="84"/>
    </row>
    <row r="1249" spans="5:26">
      <c r="E1249" s="84"/>
      <c r="F1249" s="84"/>
      <c r="Y1249" s="84"/>
      <c r="Z1249" s="84"/>
    </row>
    <row r="1250" spans="5:26">
      <c r="E1250" s="84"/>
      <c r="F1250" s="84"/>
      <c r="Y1250" s="84"/>
      <c r="Z1250" s="84"/>
    </row>
    <row r="1251" spans="5:26">
      <c r="E1251" s="84"/>
      <c r="F1251" s="84"/>
      <c r="Y1251" s="84"/>
      <c r="Z1251" s="84"/>
    </row>
    <row r="1252" spans="5:26">
      <c r="E1252" s="84"/>
      <c r="F1252" s="84"/>
      <c r="Y1252" s="84"/>
      <c r="Z1252" s="84"/>
    </row>
    <row r="1253" spans="5:26">
      <c r="E1253" s="84"/>
      <c r="F1253" s="84"/>
      <c r="Y1253" s="84"/>
      <c r="Z1253" s="84"/>
    </row>
    <row r="1254" spans="5:26">
      <c r="E1254" s="84"/>
      <c r="F1254" s="84"/>
      <c r="Y1254" s="84"/>
      <c r="Z1254" s="84"/>
    </row>
    <row r="1255" spans="5:26">
      <c r="E1255" s="84"/>
      <c r="F1255" s="84"/>
      <c r="Y1255" s="84"/>
      <c r="Z1255" s="84"/>
    </row>
    <row r="1256" spans="5:26">
      <c r="E1256" s="84"/>
      <c r="F1256" s="84"/>
      <c r="Y1256" s="84"/>
      <c r="Z1256" s="84"/>
    </row>
    <row r="1257" spans="5:26">
      <c r="E1257" s="84"/>
      <c r="F1257" s="84"/>
      <c r="Y1257" s="84"/>
      <c r="Z1257" s="84"/>
    </row>
    <row r="1258" spans="5:26">
      <c r="E1258" s="84"/>
      <c r="F1258" s="84"/>
      <c r="Y1258" s="84"/>
      <c r="Z1258" s="84"/>
    </row>
    <row r="1259" spans="5:26">
      <c r="E1259" s="84"/>
      <c r="F1259" s="84"/>
      <c r="Y1259" s="84"/>
      <c r="Z1259" s="84"/>
    </row>
    <row r="1260" spans="5:26">
      <c r="E1260" s="84"/>
      <c r="F1260" s="84"/>
      <c r="Y1260" s="84"/>
      <c r="Z1260" s="84"/>
    </row>
    <row r="1261" spans="5:26">
      <c r="E1261" s="84"/>
      <c r="F1261" s="84"/>
      <c r="Y1261" s="84"/>
      <c r="Z1261" s="84"/>
    </row>
    <row r="1262" spans="5:26">
      <c r="E1262" s="84"/>
      <c r="F1262" s="84"/>
      <c r="Y1262" s="84"/>
      <c r="Z1262" s="84"/>
    </row>
    <row r="1263" spans="5:26">
      <c r="E1263" s="84"/>
      <c r="F1263" s="84"/>
      <c r="Y1263" s="84"/>
      <c r="Z1263" s="84"/>
    </row>
    <row r="1264" spans="5:26">
      <c r="E1264" s="84"/>
      <c r="F1264" s="84"/>
      <c r="Y1264" s="84"/>
      <c r="Z1264" s="84"/>
    </row>
    <row r="1265" spans="5:26">
      <c r="E1265" s="84"/>
      <c r="F1265" s="84"/>
      <c r="Y1265" s="84"/>
      <c r="Z1265" s="84"/>
    </row>
    <row r="1266" spans="5:26">
      <c r="E1266" s="84"/>
      <c r="F1266" s="84"/>
      <c r="Y1266" s="84"/>
      <c r="Z1266" s="84"/>
    </row>
    <row r="1267" spans="5:26">
      <c r="E1267" s="84"/>
      <c r="F1267" s="84"/>
      <c r="Y1267" s="84"/>
      <c r="Z1267" s="84"/>
    </row>
    <row r="1268" spans="5:26">
      <c r="E1268" s="84"/>
      <c r="F1268" s="84"/>
      <c r="Y1268" s="84"/>
      <c r="Z1268" s="84"/>
    </row>
    <row r="1269" spans="5:26">
      <c r="E1269" s="84"/>
      <c r="F1269" s="84"/>
      <c r="Y1269" s="84"/>
      <c r="Z1269" s="84"/>
    </row>
    <row r="1270" spans="5:26">
      <c r="E1270" s="84"/>
      <c r="F1270" s="84"/>
      <c r="Y1270" s="84"/>
      <c r="Z1270" s="84"/>
    </row>
    <row r="1271" spans="5:26">
      <c r="E1271" s="84"/>
      <c r="F1271" s="84"/>
      <c r="Y1271" s="84"/>
      <c r="Z1271" s="84"/>
    </row>
    <row r="1272" spans="5:26">
      <c r="E1272" s="84"/>
      <c r="F1272" s="84"/>
      <c r="Y1272" s="84"/>
      <c r="Z1272" s="84"/>
    </row>
    <row r="1273" spans="5:26">
      <c r="E1273" s="84"/>
      <c r="F1273" s="84"/>
      <c r="Y1273" s="84"/>
      <c r="Z1273" s="84"/>
    </row>
    <row r="1274" spans="5:26">
      <c r="E1274" s="84"/>
      <c r="F1274" s="84"/>
      <c r="Y1274" s="84"/>
      <c r="Z1274" s="84"/>
    </row>
    <row r="1275" spans="5:26">
      <c r="E1275" s="84"/>
      <c r="F1275" s="84"/>
      <c r="Y1275" s="84"/>
      <c r="Z1275" s="84"/>
    </row>
    <row r="1276" spans="5:26">
      <c r="E1276" s="84"/>
      <c r="F1276" s="84"/>
      <c r="Y1276" s="84"/>
      <c r="Z1276" s="84"/>
    </row>
    <row r="1277" spans="5:26">
      <c r="E1277" s="84"/>
      <c r="F1277" s="84"/>
      <c r="Y1277" s="84"/>
      <c r="Z1277" s="84"/>
    </row>
    <row r="1278" spans="5:26">
      <c r="E1278" s="84"/>
      <c r="F1278" s="84"/>
      <c r="Y1278" s="84"/>
      <c r="Z1278" s="84"/>
    </row>
    <row r="1279" spans="5:26">
      <c r="E1279" s="84"/>
      <c r="F1279" s="84"/>
      <c r="Y1279" s="84"/>
      <c r="Z1279" s="84"/>
    </row>
    <row r="1280" spans="5:26">
      <c r="E1280" s="84"/>
      <c r="F1280" s="84"/>
      <c r="Y1280" s="84"/>
      <c r="Z1280" s="84"/>
    </row>
    <row r="1281" spans="5:26">
      <c r="E1281" s="84"/>
      <c r="F1281" s="84"/>
      <c r="Y1281" s="84"/>
      <c r="Z1281" s="84"/>
    </row>
    <row r="1282" spans="5:26">
      <c r="E1282" s="84"/>
      <c r="F1282" s="84"/>
      <c r="Y1282" s="84"/>
      <c r="Z1282" s="84"/>
    </row>
    <row r="1283" spans="5:26">
      <c r="E1283" s="84"/>
      <c r="F1283" s="84"/>
      <c r="Y1283" s="84"/>
      <c r="Z1283" s="84"/>
    </row>
    <row r="1284" spans="5:26">
      <c r="E1284" s="84"/>
      <c r="F1284" s="84"/>
      <c r="Y1284" s="84"/>
      <c r="Z1284" s="84"/>
    </row>
    <row r="1285" spans="5:26">
      <c r="E1285" s="84"/>
      <c r="F1285" s="84"/>
      <c r="Y1285" s="84"/>
      <c r="Z1285" s="84"/>
    </row>
    <row r="1286" spans="5:26">
      <c r="E1286" s="84"/>
      <c r="F1286" s="84"/>
      <c r="Y1286" s="84"/>
      <c r="Z1286" s="84"/>
    </row>
    <row r="1287" spans="5:26">
      <c r="E1287" s="84"/>
      <c r="F1287" s="84"/>
      <c r="Y1287" s="84"/>
      <c r="Z1287" s="84"/>
    </row>
    <row r="1288" spans="5:26">
      <c r="E1288" s="84"/>
      <c r="F1288" s="84"/>
      <c r="Y1288" s="84"/>
      <c r="Z1288" s="84"/>
    </row>
    <row r="1289" spans="5:26">
      <c r="E1289" s="84"/>
      <c r="F1289" s="84"/>
      <c r="Y1289" s="84"/>
      <c r="Z1289" s="84"/>
    </row>
    <row r="1290" spans="5:26">
      <c r="E1290" s="84"/>
      <c r="F1290" s="84"/>
      <c r="Y1290" s="84"/>
      <c r="Z1290" s="84"/>
    </row>
    <row r="1291" spans="5:26">
      <c r="E1291" s="84"/>
      <c r="F1291" s="84"/>
      <c r="Y1291" s="84"/>
      <c r="Z1291" s="84"/>
    </row>
    <row r="1292" spans="5:26">
      <c r="E1292" s="84"/>
      <c r="F1292" s="84"/>
      <c r="Y1292" s="84"/>
      <c r="Z1292" s="84"/>
    </row>
    <row r="1293" spans="5:26">
      <c r="E1293" s="84"/>
      <c r="F1293" s="84"/>
      <c r="Y1293" s="84"/>
      <c r="Z1293" s="84"/>
    </row>
    <row r="1294" spans="5:26">
      <c r="E1294" s="84"/>
      <c r="F1294" s="84"/>
      <c r="Y1294" s="84"/>
      <c r="Z1294" s="84"/>
    </row>
    <row r="1295" spans="5:26">
      <c r="E1295" s="84"/>
      <c r="F1295" s="84"/>
      <c r="Y1295" s="84"/>
      <c r="Z1295" s="84"/>
    </row>
    <row r="1296" spans="5:26">
      <c r="E1296" s="84"/>
      <c r="F1296" s="84"/>
      <c r="Y1296" s="84"/>
      <c r="Z1296" s="84"/>
    </row>
    <row r="1297" spans="5:26">
      <c r="E1297" s="84"/>
      <c r="F1297" s="84"/>
      <c r="Y1297" s="84"/>
      <c r="Z1297" s="84"/>
    </row>
    <row r="1298" spans="5:26">
      <c r="E1298" s="84"/>
      <c r="F1298" s="84"/>
      <c r="Y1298" s="84"/>
      <c r="Z1298" s="84"/>
    </row>
    <row r="1299" spans="5:26">
      <c r="E1299" s="84"/>
      <c r="F1299" s="84"/>
      <c r="Y1299" s="84"/>
      <c r="Z1299" s="84"/>
    </row>
    <row r="1300" spans="5:26">
      <c r="E1300" s="84"/>
      <c r="F1300" s="84"/>
      <c r="Y1300" s="84"/>
      <c r="Z1300" s="84"/>
    </row>
    <row r="1301" spans="5:26">
      <c r="E1301" s="84"/>
      <c r="F1301" s="84"/>
      <c r="Y1301" s="84"/>
      <c r="Z1301" s="84"/>
    </row>
    <row r="1302" spans="5:26">
      <c r="E1302" s="84"/>
      <c r="F1302" s="84"/>
      <c r="Y1302" s="84"/>
      <c r="Z1302" s="84"/>
    </row>
    <row r="1303" spans="5:26">
      <c r="E1303" s="84"/>
      <c r="F1303" s="84"/>
      <c r="Y1303" s="84"/>
      <c r="Z1303" s="84"/>
    </row>
    <row r="1304" spans="5:26">
      <c r="E1304" s="84"/>
      <c r="F1304" s="84"/>
      <c r="Y1304" s="84"/>
      <c r="Z1304" s="84"/>
    </row>
    <row r="1305" spans="5:26">
      <c r="E1305" s="84"/>
      <c r="F1305" s="84"/>
      <c r="Y1305" s="84"/>
      <c r="Z1305" s="84"/>
    </row>
    <row r="1306" spans="5:26">
      <c r="E1306" s="84"/>
      <c r="F1306" s="84"/>
      <c r="Y1306" s="84"/>
      <c r="Z1306" s="84"/>
    </row>
    <row r="1307" spans="5:26">
      <c r="E1307" s="84"/>
      <c r="F1307" s="84"/>
      <c r="Y1307" s="84"/>
      <c r="Z1307" s="84"/>
    </row>
    <row r="1308" spans="5:26">
      <c r="E1308" s="84"/>
      <c r="F1308" s="84"/>
      <c r="Y1308" s="84"/>
      <c r="Z1308" s="84"/>
    </row>
    <row r="1309" spans="5:26">
      <c r="E1309" s="84"/>
      <c r="F1309" s="84"/>
      <c r="Y1309" s="84"/>
      <c r="Z1309" s="84"/>
    </row>
    <row r="1310" spans="5:26">
      <c r="E1310" s="84"/>
      <c r="F1310" s="84"/>
      <c r="Y1310" s="84"/>
      <c r="Z1310" s="84"/>
    </row>
    <row r="1311" spans="5:26">
      <c r="E1311" s="84"/>
      <c r="F1311" s="84"/>
      <c r="Y1311" s="84"/>
      <c r="Z1311" s="84"/>
    </row>
    <row r="1312" spans="5:26">
      <c r="E1312" s="84"/>
      <c r="F1312" s="84"/>
      <c r="Y1312" s="84"/>
      <c r="Z1312" s="84"/>
    </row>
    <row r="1313" spans="5:26">
      <c r="E1313" s="84"/>
      <c r="F1313" s="84"/>
      <c r="Y1313" s="84"/>
      <c r="Z1313" s="84"/>
    </row>
    <row r="1314" spans="5:26">
      <c r="E1314" s="84"/>
      <c r="F1314" s="84"/>
      <c r="Y1314" s="84"/>
      <c r="Z1314" s="84"/>
    </row>
    <row r="1315" spans="5:26">
      <c r="E1315" s="84"/>
      <c r="F1315" s="84"/>
      <c r="Y1315" s="84"/>
      <c r="Z1315" s="84"/>
    </row>
    <row r="1316" spans="5:26">
      <c r="E1316" s="84"/>
      <c r="F1316" s="84"/>
      <c r="Y1316" s="84"/>
      <c r="Z1316" s="84"/>
    </row>
    <row r="1317" spans="5:26">
      <c r="E1317" s="84"/>
      <c r="F1317" s="84"/>
      <c r="Y1317" s="84"/>
      <c r="Z1317" s="84"/>
    </row>
    <row r="1318" spans="5:26">
      <c r="E1318" s="84"/>
      <c r="F1318" s="84"/>
      <c r="Y1318" s="84"/>
      <c r="Z1318" s="84"/>
    </row>
    <row r="1319" spans="5:26">
      <c r="E1319" s="84"/>
      <c r="F1319" s="84"/>
      <c r="Y1319" s="84"/>
      <c r="Z1319" s="84"/>
    </row>
    <row r="1320" spans="5:26">
      <c r="E1320" s="84"/>
      <c r="F1320" s="84"/>
      <c r="Y1320" s="84"/>
      <c r="Z1320" s="84"/>
    </row>
    <row r="1321" spans="5:26">
      <c r="E1321" s="84"/>
      <c r="F1321" s="84"/>
      <c r="Y1321" s="84"/>
      <c r="Z1321" s="84"/>
    </row>
    <row r="1322" spans="5:26">
      <c r="E1322" s="84"/>
      <c r="F1322" s="84"/>
      <c r="Y1322" s="84"/>
      <c r="Z1322" s="84"/>
    </row>
  </sheetData>
  <sheetProtection algorithmName="SHA-512" hashValue="VO5bzXe6tpJwUsRz1bTqTKVCU6FOHrQgHjo/mHC+iwERIfZ6jgHeGrPfpqnxY9iOsXjBCO4LanNe5uWswMMoeg==" saltValue="bB7OVrVg5APv5EwNe3qVKQ==" spinCount="100000" sheet="1" objects="1" scenarios="1"/>
  <mergeCells count="594">
    <mergeCell ref="B185:B188"/>
    <mergeCell ref="U250:U253"/>
    <mergeCell ref="U207:U208"/>
    <mergeCell ref="A193:A194"/>
    <mergeCell ref="A195:A196"/>
    <mergeCell ref="A108:A109"/>
    <mergeCell ref="A104:A106"/>
    <mergeCell ref="A112:A114"/>
    <mergeCell ref="A127:A130"/>
    <mergeCell ref="A131:A136"/>
    <mergeCell ref="A119:A120"/>
    <mergeCell ref="A123:A126"/>
    <mergeCell ref="A117:A118"/>
    <mergeCell ref="A115:A116"/>
    <mergeCell ref="A165:A168"/>
    <mergeCell ref="A169:A172"/>
    <mergeCell ref="A178:A180"/>
    <mergeCell ref="B165:B168"/>
    <mergeCell ref="B169:B172"/>
    <mergeCell ref="A185:A188"/>
    <mergeCell ref="A182:A184"/>
    <mergeCell ref="C195:C196"/>
    <mergeCell ref="A189:A192"/>
    <mergeCell ref="N189:N192"/>
    <mergeCell ref="N182:N184"/>
    <mergeCell ref="A212:A215"/>
    <mergeCell ref="A216:A219"/>
    <mergeCell ref="B212:B215"/>
    <mergeCell ref="B216:B219"/>
    <mergeCell ref="A263:A268"/>
    <mergeCell ref="B263:B268"/>
    <mergeCell ref="U227:U232"/>
    <mergeCell ref="P263:P268"/>
    <mergeCell ref="Q263:Q268"/>
    <mergeCell ref="R263:R268"/>
    <mergeCell ref="S263:S268"/>
    <mergeCell ref="T263:T268"/>
    <mergeCell ref="P223:P225"/>
    <mergeCell ref="P220:P221"/>
    <mergeCell ref="Q220:Q221"/>
    <mergeCell ref="R227:R232"/>
    <mergeCell ref="S227:S232"/>
    <mergeCell ref="T227:T232"/>
    <mergeCell ref="T223:T225"/>
    <mergeCell ref="R233:R235"/>
    <mergeCell ref="P233:P237"/>
    <mergeCell ref="Q250:Q253"/>
    <mergeCell ref="S250:S253"/>
    <mergeCell ref="T250:T253"/>
    <mergeCell ref="A250:A254"/>
    <mergeCell ref="B250:B254"/>
    <mergeCell ref="C250:C254"/>
    <mergeCell ref="C233:C237"/>
    <mergeCell ref="A255:A258"/>
    <mergeCell ref="B255:B258"/>
    <mergeCell ref="A259:A262"/>
    <mergeCell ref="B259:B262"/>
    <mergeCell ref="A269:A273"/>
    <mergeCell ref="B269:B273"/>
    <mergeCell ref="A238:A241"/>
    <mergeCell ref="B238:B241"/>
    <mergeCell ref="A242:A245"/>
    <mergeCell ref="B242:B245"/>
    <mergeCell ref="A246:A249"/>
    <mergeCell ref="B246:B249"/>
    <mergeCell ref="U173:U177"/>
    <mergeCell ref="U182:U184"/>
    <mergeCell ref="U185:U188"/>
    <mergeCell ref="U189:U192"/>
    <mergeCell ref="U198:U200"/>
    <mergeCell ref="U203:U206"/>
    <mergeCell ref="B207:B211"/>
    <mergeCell ref="C207:C211"/>
    <mergeCell ref="O207:O211"/>
    <mergeCell ref="B178:B180"/>
    <mergeCell ref="P198:P200"/>
    <mergeCell ref="R185:R188"/>
    <mergeCell ref="Q189:Q192"/>
    <mergeCell ref="P182:P184"/>
    <mergeCell ref="Q182:Q184"/>
    <mergeCell ref="P185:P188"/>
    <mergeCell ref="Q185:Q188"/>
    <mergeCell ref="B182:B184"/>
    <mergeCell ref="C182:C184"/>
    <mergeCell ref="O182:O184"/>
    <mergeCell ref="B193:B194"/>
    <mergeCell ref="C193:C194"/>
    <mergeCell ref="B195:B196"/>
    <mergeCell ref="N203:N206"/>
    <mergeCell ref="S148:S151"/>
    <mergeCell ref="T148:T151"/>
    <mergeCell ref="Q146:Q147"/>
    <mergeCell ref="S139:S143"/>
    <mergeCell ref="T139:T143"/>
    <mergeCell ref="T137:T138"/>
    <mergeCell ref="S137:S138"/>
    <mergeCell ref="S158:S159"/>
    <mergeCell ref="S160:S164"/>
    <mergeCell ref="Q148:Q151"/>
    <mergeCell ref="R13:U13"/>
    <mergeCell ref="V160:V164"/>
    <mergeCell ref="V139:V159"/>
    <mergeCell ref="V173:V188"/>
    <mergeCell ref="R250:R252"/>
    <mergeCell ref="V93:V94"/>
    <mergeCell ref="V58:V89"/>
    <mergeCell ref="V97:V99"/>
    <mergeCell ref="S97:S99"/>
    <mergeCell ref="T97:T99"/>
    <mergeCell ref="S93:S94"/>
    <mergeCell ref="T93:T94"/>
    <mergeCell ref="S88:S89"/>
    <mergeCell ref="T88:T89"/>
    <mergeCell ref="T58:T59"/>
    <mergeCell ref="S60:S62"/>
    <mergeCell ref="R58:R59"/>
    <mergeCell ref="U139:U143"/>
    <mergeCell ref="U144:U145"/>
    <mergeCell ref="U146:U147"/>
    <mergeCell ref="U148:U151"/>
    <mergeCell ref="U153:U155"/>
    <mergeCell ref="U158:U159"/>
    <mergeCell ref="U160:U164"/>
    <mergeCell ref="N60:N62"/>
    <mergeCell ref="B38:B40"/>
    <mergeCell ref="C38:C40"/>
    <mergeCell ref="O38:O40"/>
    <mergeCell ref="P38:P40"/>
    <mergeCell ref="I13:I14"/>
    <mergeCell ref="A45:A46"/>
    <mergeCell ref="J13:J14"/>
    <mergeCell ref="O41:O44"/>
    <mergeCell ref="M13:M14"/>
    <mergeCell ref="R74:R76"/>
    <mergeCell ref="O60:O62"/>
    <mergeCell ref="Q60:Q62"/>
    <mergeCell ref="P60:P62"/>
    <mergeCell ref="P58:P59"/>
    <mergeCell ref="Q42:Q44"/>
    <mergeCell ref="R42:R44"/>
    <mergeCell ref="S42:S44"/>
    <mergeCell ref="T42:T44"/>
    <mergeCell ref="Q47:Q48"/>
    <mergeCell ref="T60:T62"/>
    <mergeCell ref="S74:S76"/>
    <mergeCell ref="T45:T46"/>
    <mergeCell ref="Q58:Q59"/>
    <mergeCell ref="A1:V1"/>
    <mergeCell ref="A12:V12"/>
    <mergeCell ref="N139:N143"/>
    <mergeCell ref="P189:P192"/>
    <mergeCell ref="N198:N200"/>
    <mergeCell ref="C60:C62"/>
    <mergeCell ref="B69:B70"/>
    <mergeCell ref="O74:O76"/>
    <mergeCell ref="O93:O94"/>
    <mergeCell ref="O97:O99"/>
    <mergeCell ref="O112:O114"/>
    <mergeCell ref="C93:C94"/>
    <mergeCell ref="C88:C89"/>
    <mergeCell ref="O100:O101"/>
    <mergeCell ref="N74:N76"/>
    <mergeCell ref="N88:N89"/>
    <mergeCell ref="N93:N94"/>
    <mergeCell ref="O115:O116"/>
    <mergeCell ref="P97:P99"/>
    <mergeCell ref="P102:P103"/>
    <mergeCell ref="R102:R103"/>
    <mergeCell ref="A139:A143"/>
    <mergeCell ref="N58:N59"/>
    <mergeCell ref="A2:V2"/>
    <mergeCell ref="S102:S103"/>
    <mergeCell ref="V102:V107"/>
    <mergeCell ref="U35:U37"/>
    <mergeCell ref="U38:U40"/>
    <mergeCell ref="U42:U44"/>
    <mergeCell ref="U45:U46"/>
    <mergeCell ref="U47:U48"/>
    <mergeCell ref="U58:U59"/>
    <mergeCell ref="U60:U62"/>
    <mergeCell ref="U74:U76"/>
    <mergeCell ref="U88:U89"/>
    <mergeCell ref="U93:U94"/>
    <mergeCell ref="U97:U99"/>
    <mergeCell ref="U100:U101"/>
    <mergeCell ref="U102:U103"/>
    <mergeCell ref="U104:U107"/>
    <mergeCell ref="T47:T48"/>
    <mergeCell ref="S58:S59"/>
    <mergeCell ref="P47:P48"/>
    <mergeCell ref="P41:P44"/>
    <mergeCell ref="N22:U33"/>
    <mergeCell ref="Q49:Q57"/>
    <mergeCell ref="V100:V101"/>
    <mergeCell ref="T38:T40"/>
    <mergeCell ref="S35:S37"/>
    <mergeCell ref="T35:T37"/>
    <mergeCell ref="S38:S40"/>
    <mergeCell ref="P100:P101"/>
    <mergeCell ref="Q100:Q101"/>
    <mergeCell ref="R100:R101"/>
    <mergeCell ref="P74:P76"/>
    <mergeCell ref="O35:O37"/>
    <mergeCell ref="R60:R62"/>
    <mergeCell ref="Q77:Q87"/>
    <mergeCell ref="Q63:Q73"/>
    <mergeCell ref="S45:S46"/>
    <mergeCell ref="P45:P46"/>
    <mergeCell ref="Q45:Q46"/>
    <mergeCell ref="R45:R46"/>
    <mergeCell ref="R47:R48"/>
    <mergeCell ref="S47:S48"/>
    <mergeCell ref="Q74:Q76"/>
    <mergeCell ref="C41:C44"/>
    <mergeCell ref="C58:C59"/>
    <mergeCell ref="B108:B109"/>
    <mergeCell ref="R146:R147"/>
    <mergeCell ref="B127:B130"/>
    <mergeCell ref="B137:B138"/>
    <mergeCell ref="B131:B136"/>
    <mergeCell ref="R139:R143"/>
    <mergeCell ref="O144:O145"/>
    <mergeCell ref="O139:O143"/>
    <mergeCell ref="O146:O147"/>
    <mergeCell ref="C137:C138"/>
    <mergeCell ref="O137:O138"/>
    <mergeCell ref="O127:O130"/>
    <mergeCell ref="P127:P130"/>
    <mergeCell ref="P135:P136"/>
    <mergeCell ref="P139:P143"/>
    <mergeCell ref="Q139:Q143"/>
    <mergeCell ref="N127:N136"/>
    <mergeCell ref="Q97:Q99"/>
    <mergeCell ref="Q123:Q126"/>
    <mergeCell ref="P117:P118"/>
    <mergeCell ref="Q115:Q116"/>
    <mergeCell ref="N35:N48"/>
    <mergeCell ref="B198:B200"/>
    <mergeCell ref="A203:A206"/>
    <mergeCell ref="B203:B206"/>
    <mergeCell ref="C198:C200"/>
    <mergeCell ref="A227:A232"/>
    <mergeCell ref="C220:C221"/>
    <mergeCell ref="O189:O192"/>
    <mergeCell ref="O185:O188"/>
    <mergeCell ref="O250:O254"/>
    <mergeCell ref="B189:B192"/>
    <mergeCell ref="C189:C192"/>
    <mergeCell ref="C185:C188"/>
    <mergeCell ref="N185:N188"/>
    <mergeCell ref="A207:A211"/>
    <mergeCell ref="A233:A237"/>
    <mergeCell ref="C223:C225"/>
    <mergeCell ref="N220:N221"/>
    <mergeCell ref="B233:B237"/>
    <mergeCell ref="C227:C232"/>
    <mergeCell ref="A223:A225"/>
    <mergeCell ref="B223:B225"/>
    <mergeCell ref="A220:A221"/>
    <mergeCell ref="B220:B221"/>
    <mergeCell ref="A198:A200"/>
    <mergeCell ref="B281:D281"/>
    <mergeCell ref="B282:D282"/>
    <mergeCell ref="B283:D283"/>
    <mergeCell ref="O263:O268"/>
    <mergeCell ref="N274:V274"/>
    <mergeCell ref="V223:V268"/>
    <mergeCell ref="P250:P254"/>
    <mergeCell ref="P227:P232"/>
    <mergeCell ref="V220:V221"/>
    <mergeCell ref="R220:R221"/>
    <mergeCell ref="S220:S221"/>
    <mergeCell ref="T220:T221"/>
    <mergeCell ref="S223:S225"/>
    <mergeCell ref="R223:R225"/>
    <mergeCell ref="N223:N268"/>
    <mergeCell ref="O233:O237"/>
    <mergeCell ref="O227:O232"/>
    <mergeCell ref="O223:O225"/>
    <mergeCell ref="B227:B232"/>
    <mergeCell ref="U263:U268"/>
    <mergeCell ref="U220:U221"/>
    <mergeCell ref="U223:U225"/>
    <mergeCell ref="Q223:Q225"/>
    <mergeCell ref="C263:C268"/>
    <mergeCell ref="O119:O120"/>
    <mergeCell ref="C123:C126"/>
    <mergeCell ref="Q144:Q145"/>
    <mergeCell ref="R144:R145"/>
    <mergeCell ref="O153:O155"/>
    <mergeCell ref="C131:C136"/>
    <mergeCell ref="P160:P164"/>
    <mergeCell ref="B139:B143"/>
    <mergeCell ref="C139:C143"/>
    <mergeCell ref="C144:C145"/>
    <mergeCell ref="P137:P138"/>
    <mergeCell ref="Q137:Q138"/>
    <mergeCell ref="R137:R138"/>
    <mergeCell ref="R123:R126"/>
    <mergeCell ref="P153:P155"/>
    <mergeCell ref="O148:O151"/>
    <mergeCell ref="O131:O136"/>
    <mergeCell ref="C127:C130"/>
    <mergeCell ref="P131:P133"/>
    <mergeCell ref="Q131:Q133"/>
    <mergeCell ref="Q153:Q155"/>
    <mergeCell ref="R148:R151"/>
    <mergeCell ref="P144:P145"/>
    <mergeCell ref="A173:A177"/>
    <mergeCell ref="B173:B177"/>
    <mergeCell ref="N173:N177"/>
    <mergeCell ref="C173:C177"/>
    <mergeCell ref="C158:C159"/>
    <mergeCell ref="A160:A164"/>
    <mergeCell ref="B160:B164"/>
    <mergeCell ref="C160:C164"/>
    <mergeCell ref="O160:O164"/>
    <mergeCell ref="N158:N159"/>
    <mergeCell ref="N160:N164"/>
    <mergeCell ref="O158:O159"/>
    <mergeCell ref="A158:A159"/>
    <mergeCell ref="B158:B159"/>
    <mergeCell ref="O173:O181"/>
    <mergeCell ref="A35:A37"/>
    <mergeCell ref="A38:A40"/>
    <mergeCell ref="A28:A32"/>
    <mergeCell ref="B28:B32"/>
    <mergeCell ref="B35:B37"/>
    <mergeCell ref="C35:C37"/>
    <mergeCell ref="S112:S114"/>
    <mergeCell ref="N102:N107"/>
    <mergeCell ref="O102:O103"/>
    <mergeCell ref="S108:S109"/>
    <mergeCell ref="R108:R109"/>
    <mergeCell ref="P112:P114"/>
    <mergeCell ref="Q112:Q114"/>
    <mergeCell ref="R112:R114"/>
    <mergeCell ref="P104:P107"/>
    <mergeCell ref="Q104:Q107"/>
    <mergeCell ref="R104:R107"/>
    <mergeCell ref="S104:S107"/>
    <mergeCell ref="Q102:Q103"/>
    <mergeCell ref="O108:O109"/>
    <mergeCell ref="P108:P109"/>
    <mergeCell ref="Q108:Q109"/>
    <mergeCell ref="N108:N114"/>
    <mergeCell ref="B41:B44"/>
    <mergeCell ref="P13:P14"/>
    <mergeCell ref="Q13:Q14"/>
    <mergeCell ref="V13:V14"/>
    <mergeCell ref="R97:R99"/>
    <mergeCell ref="T100:T101"/>
    <mergeCell ref="R16:R21"/>
    <mergeCell ref="Q38:Q40"/>
    <mergeCell ref="R38:R40"/>
    <mergeCell ref="O58:O59"/>
    <mergeCell ref="S100:S101"/>
    <mergeCell ref="P93:P94"/>
    <mergeCell ref="Q93:Q94"/>
    <mergeCell ref="R93:R94"/>
    <mergeCell ref="P35:P37"/>
    <mergeCell ref="Q35:Q37"/>
    <mergeCell ref="R35:R37"/>
    <mergeCell ref="V22:V27"/>
    <mergeCell ref="V28:V32"/>
    <mergeCell ref="V35:V48"/>
    <mergeCell ref="R88:R89"/>
    <mergeCell ref="O88:O89"/>
    <mergeCell ref="Q88:Q89"/>
    <mergeCell ref="P88:P89"/>
    <mergeCell ref="T74:T76"/>
    <mergeCell ref="N13:N14"/>
    <mergeCell ref="C28:C32"/>
    <mergeCell ref="O45:O46"/>
    <mergeCell ref="A100:A101"/>
    <mergeCell ref="B100:B101"/>
    <mergeCell ref="C100:C101"/>
    <mergeCell ref="N97:N99"/>
    <mergeCell ref="N100:N101"/>
    <mergeCell ref="A97:A99"/>
    <mergeCell ref="A47:A48"/>
    <mergeCell ref="A41:A44"/>
    <mergeCell ref="C45:C46"/>
    <mergeCell ref="C13:C14"/>
    <mergeCell ref="H13:H14"/>
    <mergeCell ref="K13:K14"/>
    <mergeCell ref="L13:L14"/>
    <mergeCell ref="D13:D14"/>
    <mergeCell ref="E13:E14"/>
    <mergeCell ref="F13:F14"/>
    <mergeCell ref="G13:G14"/>
    <mergeCell ref="O13:O14"/>
    <mergeCell ref="A22:A27"/>
    <mergeCell ref="B22:B27"/>
    <mergeCell ref="C22:C27"/>
    <mergeCell ref="B102:B103"/>
    <mergeCell ref="C102:C103"/>
    <mergeCell ref="B97:B99"/>
    <mergeCell ref="C97:C99"/>
    <mergeCell ref="A58:A59"/>
    <mergeCell ref="A74:A76"/>
    <mergeCell ref="B47:B48"/>
    <mergeCell ref="C47:C48"/>
    <mergeCell ref="O47:O48"/>
    <mergeCell ref="B58:B59"/>
    <mergeCell ref="B93:B94"/>
    <mergeCell ref="A88:A89"/>
    <mergeCell ref="B88:B89"/>
    <mergeCell ref="A102:A103"/>
    <mergeCell ref="A93:A94"/>
    <mergeCell ref="B74:B76"/>
    <mergeCell ref="B95:B96"/>
    <mergeCell ref="C95:C96"/>
    <mergeCell ref="D95:D96"/>
    <mergeCell ref="H95:H96"/>
    <mergeCell ref="I95:I96"/>
    <mergeCell ref="J95:J96"/>
    <mergeCell ref="K95:K96"/>
    <mergeCell ref="L95:L96"/>
    <mergeCell ref="N115:N116"/>
    <mergeCell ref="C104:C106"/>
    <mergeCell ref="B112:B114"/>
    <mergeCell ref="C112:C114"/>
    <mergeCell ref="C108:C109"/>
    <mergeCell ref="B117:B118"/>
    <mergeCell ref="C117:C118"/>
    <mergeCell ref="B123:B126"/>
    <mergeCell ref="B119:B120"/>
    <mergeCell ref="C119:C120"/>
    <mergeCell ref="S115:S116"/>
    <mergeCell ref="Q117:Q118"/>
    <mergeCell ref="P115:P116"/>
    <mergeCell ref="P119:P120"/>
    <mergeCell ref="P123:P126"/>
    <mergeCell ref="Q127:Q130"/>
    <mergeCell ref="R117:R118"/>
    <mergeCell ref="Q119:Q120"/>
    <mergeCell ref="R119:R120"/>
    <mergeCell ref="R115:R116"/>
    <mergeCell ref="R127:R130"/>
    <mergeCell ref="V115:V116"/>
    <mergeCell ref="V127:V136"/>
    <mergeCell ref="V117:V126"/>
    <mergeCell ref="T102:T103"/>
    <mergeCell ref="S119:S120"/>
    <mergeCell ref="T112:T114"/>
    <mergeCell ref="T115:T116"/>
    <mergeCell ref="S117:S118"/>
    <mergeCell ref="T104:T107"/>
    <mergeCell ref="T123:T126"/>
    <mergeCell ref="T119:T120"/>
    <mergeCell ref="S123:S126"/>
    <mergeCell ref="T108:T109"/>
    <mergeCell ref="V108:V114"/>
    <mergeCell ref="U119:U120"/>
    <mergeCell ref="U108:U109"/>
    <mergeCell ref="U112:U114"/>
    <mergeCell ref="U115:U116"/>
    <mergeCell ref="U117:U118"/>
    <mergeCell ref="U123:U126"/>
    <mergeCell ref="U127:U130"/>
    <mergeCell ref="S127:S130"/>
    <mergeCell ref="T127:T130"/>
    <mergeCell ref="T117:T118"/>
    <mergeCell ref="P173:P177"/>
    <mergeCell ref="Q173:Q177"/>
    <mergeCell ref="P158:P159"/>
    <mergeCell ref="Q158:Q159"/>
    <mergeCell ref="R158:R159"/>
    <mergeCell ref="Q207:Q208"/>
    <mergeCell ref="S207:S208"/>
    <mergeCell ref="T207:T208"/>
    <mergeCell ref="Q160:Q164"/>
    <mergeCell ref="R160:R164"/>
    <mergeCell ref="B285:D285"/>
    <mergeCell ref="B286:D286"/>
    <mergeCell ref="B287:D287"/>
    <mergeCell ref="T173:T177"/>
    <mergeCell ref="R182:R184"/>
    <mergeCell ref="S182:S184"/>
    <mergeCell ref="T182:T184"/>
    <mergeCell ref="T189:T192"/>
    <mergeCell ref="T185:T188"/>
    <mergeCell ref="T198:T200"/>
    <mergeCell ref="R198:R200"/>
    <mergeCell ref="S198:S200"/>
    <mergeCell ref="Q203:Q206"/>
    <mergeCell ref="C203:C206"/>
    <mergeCell ref="O203:O206"/>
    <mergeCell ref="P203:P206"/>
    <mergeCell ref="N207:N211"/>
    <mergeCell ref="Q227:Q232"/>
    <mergeCell ref="R173:R177"/>
    <mergeCell ref="B284:D284"/>
    <mergeCell ref="B278:D278"/>
    <mergeCell ref="A274:D274"/>
    <mergeCell ref="O198:O200"/>
    <mergeCell ref="O220:O221"/>
    <mergeCell ref="A9:E9"/>
    <mergeCell ref="A10:L10"/>
    <mergeCell ref="A13:A14"/>
    <mergeCell ref="B13:B14"/>
    <mergeCell ref="B275:D275"/>
    <mergeCell ref="B276:D276"/>
    <mergeCell ref="B277:D277"/>
    <mergeCell ref="B280:D280"/>
    <mergeCell ref="A153:A155"/>
    <mergeCell ref="B153:B155"/>
    <mergeCell ref="C153:C155"/>
    <mergeCell ref="A146:A147"/>
    <mergeCell ref="B146:B147"/>
    <mergeCell ref="C146:C147"/>
    <mergeCell ref="A148:A151"/>
    <mergeCell ref="B148:B151"/>
    <mergeCell ref="C148:C151"/>
    <mergeCell ref="A144:A145"/>
    <mergeCell ref="B144:B145"/>
    <mergeCell ref="A137:A138"/>
    <mergeCell ref="B45:B46"/>
    <mergeCell ref="A60:A62"/>
    <mergeCell ref="C74:C76"/>
    <mergeCell ref="B60:B62"/>
    <mergeCell ref="V203:V211"/>
    <mergeCell ref="V198:V200"/>
    <mergeCell ref="A16:A21"/>
    <mergeCell ref="B16:B21"/>
    <mergeCell ref="C16:C21"/>
    <mergeCell ref="N16:N21"/>
    <mergeCell ref="O16:O21"/>
    <mergeCell ref="P16:P21"/>
    <mergeCell ref="V16:V21"/>
    <mergeCell ref="Q16:Q18"/>
    <mergeCell ref="S16:S18"/>
    <mergeCell ref="T16:T18"/>
    <mergeCell ref="U16:U18"/>
    <mergeCell ref="V95:V96"/>
    <mergeCell ref="A95:A96"/>
    <mergeCell ref="S144:S145"/>
    <mergeCell ref="T144:T145"/>
    <mergeCell ref="S146:S147"/>
    <mergeCell ref="T146:T147"/>
    <mergeCell ref="T160:T164"/>
    <mergeCell ref="P148:P151"/>
    <mergeCell ref="V189:V192"/>
    <mergeCell ref="S203:S206"/>
    <mergeCell ref="T203:T206"/>
    <mergeCell ref="M95:M96"/>
    <mergeCell ref="N95:N96"/>
    <mergeCell ref="O95:O96"/>
    <mergeCell ref="P95:P96"/>
    <mergeCell ref="A156:A157"/>
    <mergeCell ref="B156:B157"/>
    <mergeCell ref="C156:C157"/>
    <mergeCell ref="D156:D157"/>
    <mergeCell ref="H156:H157"/>
    <mergeCell ref="I156:I157"/>
    <mergeCell ref="J156:J157"/>
    <mergeCell ref="K156:K157"/>
    <mergeCell ref="L156:L157"/>
    <mergeCell ref="M156:M157"/>
    <mergeCell ref="N156:N157"/>
    <mergeCell ref="O156:O157"/>
    <mergeCell ref="P156:P157"/>
    <mergeCell ref="B104:B106"/>
    <mergeCell ref="O123:O126"/>
    <mergeCell ref="O117:O118"/>
    <mergeCell ref="O104:O107"/>
    <mergeCell ref="B115:B116"/>
    <mergeCell ref="C115:C116"/>
    <mergeCell ref="N117:N126"/>
    <mergeCell ref="S131:S133"/>
    <mergeCell ref="T131:T133"/>
    <mergeCell ref="U131:U133"/>
    <mergeCell ref="N144:N155"/>
    <mergeCell ref="Q209:Q210"/>
    <mergeCell ref="S209:S210"/>
    <mergeCell ref="T209:T210"/>
    <mergeCell ref="U209:U210"/>
    <mergeCell ref="Q233:Q236"/>
    <mergeCell ref="S233:S236"/>
    <mergeCell ref="T233:T236"/>
    <mergeCell ref="U233:U236"/>
    <mergeCell ref="P207:P211"/>
    <mergeCell ref="T158:T159"/>
    <mergeCell ref="S189:S192"/>
    <mergeCell ref="S185:S188"/>
    <mergeCell ref="Q198:Q200"/>
    <mergeCell ref="P146:P147"/>
    <mergeCell ref="R153:R155"/>
    <mergeCell ref="S153:S155"/>
    <mergeCell ref="T153:T155"/>
    <mergeCell ref="R203:R206"/>
    <mergeCell ref="R189:R192"/>
    <mergeCell ref="S173:S177"/>
  </mergeCells>
  <phoneticPr fontId="18" type="noConversion"/>
  <conditionalFormatting sqref="E13:H13 G14:H14 K13:L14 N13:O13">
    <cfRule type="dataBar" priority="17">
      <dataBar>
        <cfvo type="min"/>
        <cfvo type="max"/>
        <color rgb="FF638EC6"/>
      </dataBar>
      <extLst>
        <ext xmlns:x14="http://schemas.microsoft.com/office/spreadsheetml/2009/9/main" uri="{B025F937-C7B1-47D3-B67F-A62EFF666E3E}">
          <x14:id>{26F09905-6243-4F81-A065-F6E392A0538B}</x14:id>
        </ext>
      </extLst>
    </cfRule>
  </conditionalFormatting>
  <conditionalFormatting sqref="I13:J13">
    <cfRule type="dataBar" priority="4">
      <dataBar>
        <cfvo type="min"/>
        <cfvo type="max"/>
        <color rgb="FF638EC6"/>
      </dataBar>
      <extLst>
        <ext xmlns:x14="http://schemas.microsoft.com/office/spreadsheetml/2009/9/main" uri="{B025F937-C7B1-47D3-B67F-A62EFF666E3E}">
          <x14:id>{4A172502-38AB-443E-8490-2C5D91DF7D4E}</x14:id>
        </ext>
      </extLst>
    </cfRule>
  </conditionalFormatting>
  <conditionalFormatting sqref="J14">
    <cfRule type="dataBar" priority="3">
      <dataBar>
        <cfvo type="min"/>
        <cfvo type="max"/>
        <color rgb="FF638EC6"/>
      </dataBar>
      <extLst>
        <ext xmlns:x14="http://schemas.microsoft.com/office/spreadsheetml/2009/9/main" uri="{B025F937-C7B1-47D3-B67F-A62EFF666E3E}">
          <x14:id>{E7628369-2254-48E0-98CE-6BC0561CA088}</x14:id>
        </ext>
      </extLst>
    </cfRule>
  </conditionalFormatting>
  <conditionalFormatting sqref="M13">
    <cfRule type="dataBar" priority="2">
      <dataBar>
        <cfvo type="min"/>
        <cfvo type="max"/>
        <color rgb="FF638EC6"/>
      </dataBar>
      <extLst>
        <ext xmlns:x14="http://schemas.microsoft.com/office/spreadsheetml/2009/9/main" uri="{B025F937-C7B1-47D3-B67F-A62EFF666E3E}">
          <x14:id>{7C023A95-3B0A-4994-91EB-32BE9FF34158}</x14:id>
        </ext>
      </extLst>
    </cfRule>
  </conditionalFormatting>
  <conditionalFormatting sqref="M14">
    <cfRule type="dataBar" priority="1">
      <dataBar>
        <cfvo type="min"/>
        <cfvo type="max"/>
        <color rgb="FF638EC6"/>
      </dataBar>
      <extLst>
        <ext xmlns:x14="http://schemas.microsoft.com/office/spreadsheetml/2009/9/main" uri="{B025F937-C7B1-47D3-B67F-A62EFF666E3E}">
          <x14:id>{9118DF16-530C-4ECD-B04E-AE2CD126F97F}</x14:id>
        </ext>
      </extLst>
    </cfRule>
  </conditionalFormatting>
  <pageMargins left="0.70866141732283472" right="0.70866141732283472" top="0.74803149606299213" bottom="0.74803149606299213" header="0.31496062992125984" footer="0.31496062992125984"/>
  <pageSetup paperSize="8" scale="65" fitToWidth="0" fitToHeight="0" pageOrder="overThenDown" orientation="landscape" r:id="rId1"/>
  <extLst>
    <ext xmlns:x14="http://schemas.microsoft.com/office/spreadsheetml/2009/9/main" uri="{78C0D931-6437-407d-A8EE-F0AAD7539E65}">
      <x14:conditionalFormattings>
        <x14:conditionalFormatting xmlns:xm="http://schemas.microsoft.com/office/excel/2006/main">
          <x14:cfRule type="dataBar" id="{26F09905-6243-4F81-A065-F6E392A0538B}">
            <x14:dataBar minLength="0" maxLength="100" border="1" negativeBarBorderColorSameAsPositive="0">
              <x14:cfvo type="autoMin"/>
              <x14:cfvo type="autoMax"/>
              <x14:borderColor rgb="FF638EC6"/>
              <x14:negativeFillColor rgb="FFFF0000"/>
              <x14:negativeBorderColor rgb="FFFF0000"/>
              <x14:axisColor rgb="FF000000"/>
            </x14:dataBar>
          </x14:cfRule>
          <xm:sqref>E13:H13 G14:H14 K13:L14 N13:O13</xm:sqref>
        </x14:conditionalFormatting>
        <x14:conditionalFormatting xmlns:xm="http://schemas.microsoft.com/office/excel/2006/main">
          <x14:cfRule type="dataBar" id="{4A172502-38AB-443E-8490-2C5D91DF7D4E}">
            <x14:dataBar minLength="0" maxLength="100" border="1" negativeBarBorderColorSameAsPositive="0">
              <x14:cfvo type="autoMin"/>
              <x14:cfvo type="autoMax"/>
              <x14:borderColor rgb="FF638EC6"/>
              <x14:negativeFillColor rgb="FFFF0000"/>
              <x14:negativeBorderColor rgb="FFFF0000"/>
              <x14:axisColor rgb="FF000000"/>
            </x14:dataBar>
          </x14:cfRule>
          <xm:sqref>I13:J13</xm:sqref>
        </x14:conditionalFormatting>
        <x14:conditionalFormatting xmlns:xm="http://schemas.microsoft.com/office/excel/2006/main">
          <x14:cfRule type="dataBar" id="{E7628369-2254-48E0-98CE-6BC0561CA088}">
            <x14:dataBar minLength="0" maxLength="100" border="1" negativeBarBorderColorSameAsPositive="0">
              <x14:cfvo type="autoMin"/>
              <x14:cfvo type="autoMax"/>
              <x14:borderColor rgb="FF638EC6"/>
              <x14:negativeFillColor rgb="FFFF0000"/>
              <x14:negativeBorderColor rgb="FFFF0000"/>
              <x14:axisColor rgb="FF000000"/>
            </x14:dataBar>
          </x14:cfRule>
          <xm:sqref>J14</xm:sqref>
        </x14:conditionalFormatting>
        <x14:conditionalFormatting xmlns:xm="http://schemas.microsoft.com/office/excel/2006/main">
          <x14:cfRule type="dataBar" id="{7C023A95-3B0A-4994-91EB-32BE9FF34158}">
            <x14:dataBar minLength="0" maxLength="100" border="1" negativeBarBorderColorSameAsPositive="0">
              <x14:cfvo type="autoMin"/>
              <x14:cfvo type="autoMax"/>
              <x14:borderColor rgb="FF638EC6"/>
              <x14:negativeFillColor rgb="FFFF0000"/>
              <x14:negativeBorderColor rgb="FFFF0000"/>
              <x14:axisColor rgb="FF000000"/>
            </x14:dataBar>
          </x14:cfRule>
          <xm:sqref>M13</xm:sqref>
        </x14:conditionalFormatting>
        <x14:conditionalFormatting xmlns:xm="http://schemas.microsoft.com/office/excel/2006/main">
          <x14:cfRule type="dataBar" id="{9118DF16-530C-4ECD-B04E-AE2CD126F97F}">
            <x14:dataBar minLength="0" maxLength="100" border="1" negativeBarBorderColorSameAsPositive="0">
              <x14:cfvo type="autoMin"/>
              <x14:cfvo type="autoMax"/>
              <x14:borderColor rgb="FF638EC6"/>
              <x14:negativeFillColor rgb="FFFF0000"/>
              <x14:negativeBorderColor rgb="FFFF0000"/>
              <x14:axisColor rgb="FF000000"/>
            </x14:dataBar>
          </x14:cfRule>
          <xm:sqref>M14</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2791B-8B75-4CDD-B356-798BE755673B}">
  <sheetPr>
    <pageSetUpPr fitToPage="1"/>
  </sheetPr>
  <dimension ref="A1:CF1203"/>
  <sheetViews>
    <sheetView zoomScale="91" zoomScaleNormal="91" zoomScaleSheetLayoutView="84" workbookViewId="0">
      <selection activeCell="A7" sqref="A7:E7"/>
    </sheetView>
  </sheetViews>
  <sheetFormatPr defaultColWidth="9.140625" defaultRowHeight="12"/>
  <cols>
    <col min="1" max="1" width="15.7109375" style="236" customWidth="1"/>
    <col min="2" max="2" width="31.140625" style="236" customWidth="1"/>
    <col min="3" max="3" width="5.140625" style="236" customWidth="1"/>
    <col min="4" max="4" width="7.28515625" style="236" customWidth="1"/>
    <col min="5" max="6" width="10.7109375" style="404" hidden="1" customWidth="1"/>
    <col min="7" max="7" width="13.7109375" style="236" hidden="1" customWidth="1"/>
    <col min="8" max="9" width="19.28515625" style="236" hidden="1" customWidth="1"/>
    <col min="10" max="10" width="19.28515625" style="401" hidden="1" customWidth="1"/>
    <col min="11" max="11" width="18" style="236" customWidth="1"/>
    <col min="12" max="13" width="18.7109375" style="236" customWidth="1"/>
    <col min="14" max="14" width="13.42578125" style="236" customWidth="1"/>
    <col min="15" max="15" width="85.5703125" style="236" customWidth="1"/>
    <col min="16" max="16" width="19.28515625" style="236" customWidth="1"/>
    <col min="17" max="17" width="33" style="236" customWidth="1"/>
    <col min="18" max="18" width="6.28515625" style="236" hidden="1" customWidth="1"/>
    <col min="19" max="21" width="6.28515625" style="236" customWidth="1"/>
    <col min="22" max="22" width="29.42578125" style="236" customWidth="1"/>
    <col min="23" max="23" width="25.85546875" style="236" hidden="1" customWidth="1"/>
    <col min="24" max="24" width="9.140625" style="236" customWidth="1"/>
    <col min="25" max="26" width="8.85546875" style="236" customWidth="1"/>
    <col min="27" max="16384" width="9.140625" style="236"/>
  </cols>
  <sheetData>
    <row r="1" spans="1:22" ht="26.25" customHeight="1">
      <c r="A1" s="2770" t="s">
        <v>2265</v>
      </c>
      <c r="B1" s="2770"/>
      <c r="C1" s="2770"/>
      <c r="D1" s="2770"/>
      <c r="E1" s="2770"/>
      <c r="F1" s="2770"/>
      <c r="G1" s="2770"/>
      <c r="H1" s="2770"/>
      <c r="I1" s="2770"/>
      <c r="J1" s="2770"/>
      <c r="K1" s="2770"/>
      <c r="L1" s="2770"/>
      <c r="M1" s="2770"/>
      <c r="N1" s="2770"/>
      <c r="O1" s="2770"/>
      <c r="P1" s="2770"/>
      <c r="Q1" s="2770"/>
      <c r="R1" s="2770"/>
      <c r="S1" s="2770"/>
      <c r="T1" s="2770"/>
      <c r="U1" s="2770"/>
      <c r="V1" s="2770"/>
    </row>
    <row r="2" spans="1:22" ht="28.5" customHeight="1">
      <c r="A2" s="2331" t="s">
        <v>2769</v>
      </c>
      <c r="B2" s="2331"/>
      <c r="C2" s="2331"/>
      <c r="D2" s="2331"/>
      <c r="E2" s="2331"/>
      <c r="F2" s="2331"/>
      <c r="G2" s="2331"/>
      <c r="H2" s="2331"/>
      <c r="I2" s="2331"/>
      <c r="J2" s="2331"/>
      <c r="K2" s="2331"/>
      <c r="L2" s="2331"/>
      <c r="M2" s="2331"/>
      <c r="N2" s="2331"/>
      <c r="O2" s="2331"/>
      <c r="P2" s="2331"/>
      <c r="Q2" s="2331"/>
      <c r="R2" s="2331"/>
      <c r="S2" s="2331"/>
      <c r="T2" s="2331"/>
      <c r="U2" s="2331"/>
      <c r="V2" s="2331"/>
    </row>
    <row r="3" spans="1:22" ht="11.25" customHeight="1">
      <c r="A3" s="103"/>
      <c r="B3" s="103"/>
      <c r="C3" s="103"/>
      <c r="D3" s="103"/>
      <c r="E3" s="103"/>
      <c r="F3" s="103"/>
      <c r="G3" s="103"/>
      <c r="H3" s="103"/>
      <c r="I3" s="103"/>
      <c r="J3" s="103"/>
      <c r="K3" s="103"/>
      <c r="L3" s="103"/>
      <c r="M3" s="103"/>
      <c r="N3" s="103"/>
      <c r="O3" s="103"/>
      <c r="P3" s="103"/>
      <c r="Q3" s="103"/>
      <c r="R3" s="103"/>
      <c r="S3" s="103"/>
      <c r="T3" s="103"/>
      <c r="U3" s="103"/>
      <c r="V3" s="103"/>
    </row>
    <row r="4" spans="1:22" ht="14.25" customHeight="1">
      <c r="A4" s="361" t="str">
        <f>A12</f>
        <v>07.01.01. (T)</v>
      </c>
      <c r="B4" s="2692" t="str">
        <f>B12</f>
        <v>Stiprinti ir plėtoti visuomenės sveikatinimo veiklą</v>
      </c>
      <c r="C4" s="2692"/>
      <c r="D4" s="2692"/>
      <c r="E4" s="2692"/>
      <c r="F4" s="2692"/>
      <c r="G4" s="2692"/>
      <c r="H4" s="2692"/>
      <c r="I4" s="2692"/>
      <c r="J4" s="2692"/>
      <c r="K4" s="2692"/>
      <c r="L4" s="2692"/>
      <c r="M4" s="2692"/>
      <c r="N4" s="2692"/>
      <c r="O4" s="2692"/>
      <c r="P4" s="2692"/>
      <c r="Q4" s="2692"/>
      <c r="R4" s="2692"/>
      <c r="S4" s="2692"/>
      <c r="T4" s="2692"/>
      <c r="U4" s="2692"/>
      <c r="V4" s="2692"/>
    </row>
    <row r="5" spans="1:22" ht="18" customHeight="1">
      <c r="A5" s="362" t="str">
        <f>A88</f>
        <v>07.01.02. (T)</v>
      </c>
      <c r="B5" s="2693" t="str">
        <f>B88</f>
        <v>Remti sveikatos priežiūros paslaugų teikimą nustatytų kategorijų žmonėms</v>
      </c>
      <c r="C5" s="2693"/>
      <c r="D5" s="2693"/>
      <c r="E5" s="2693"/>
      <c r="F5" s="2693"/>
      <c r="G5" s="2693"/>
      <c r="H5" s="2693"/>
      <c r="I5" s="2693"/>
      <c r="J5" s="2693"/>
      <c r="K5" s="2693"/>
      <c r="L5" s="2693"/>
      <c r="M5" s="2693"/>
      <c r="N5" s="2693"/>
      <c r="O5" s="2693"/>
      <c r="P5" s="2693"/>
      <c r="Q5" s="2693"/>
      <c r="R5" s="2693"/>
      <c r="S5" s="2693"/>
      <c r="T5" s="2693"/>
      <c r="U5" s="2693"/>
      <c r="V5" s="2693"/>
    </row>
    <row r="6" spans="1:22" s="448" customFormat="1" ht="14.25" customHeight="1">
      <c r="J6" s="605"/>
    </row>
    <row r="7" spans="1:22" ht="21" customHeight="1">
      <c r="A7" s="2474" t="s">
        <v>3098</v>
      </c>
      <c r="B7" s="2474"/>
      <c r="C7" s="2474"/>
      <c r="D7" s="2474"/>
      <c r="E7" s="2474"/>
      <c r="F7" s="931"/>
      <c r="G7" s="931"/>
      <c r="H7" s="1698"/>
      <c r="I7" s="1698"/>
      <c r="J7" s="1699"/>
      <c r="K7" s="103"/>
      <c r="L7" s="103"/>
      <c r="M7" s="103"/>
      <c r="N7" s="103"/>
      <c r="O7" s="103"/>
      <c r="P7" s="103"/>
      <c r="Q7" s="103"/>
      <c r="R7" s="234"/>
      <c r="S7" s="234"/>
      <c r="T7" s="234"/>
      <c r="U7" s="234"/>
      <c r="V7" s="234"/>
    </row>
    <row r="8" spans="1:22" ht="28.5" customHeight="1">
      <c r="A8" s="2474" t="s">
        <v>4242</v>
      </c>
      <c r="B8" s="2474"/>
      <c r="C8" s="2474"/>
      <c r="D8" s="2474"/>
      <c r="E8" s="2474"/>
      <c r="F8" s="2474"/>
      <c r="G8" s="2474"/>
      <c r="H8" s="2474"/>
      <c r="I8" s="2474"/>
      <c r="J8" s="2474"/>
      <c r="K8" s="2474"/>
      <c r="L8" s="2474"/>
      <c r="M8" s="2474"/>
      <c r="N8" s="2474"/>
      <c r="O8" s="2474"/>
      <c r="P8" s="2474"/>
      <c r="Q8" s="2474"/>
      <c r="R8" s="234"/>
      <c r="S8" s="234"/>
      <c r="T8" s="234"/>
      <c r="U8" s="234"/>
      <c r="V8" s="234"/>
    </row>
    <row r="9" spans="1:22" ht="23.25" customHeight="1">
      <c r="A9" s="312" t="s">
        <v>4186</v>
      </c>
      <c r="B9" s="399"/>
      <c r="C9" s="399"/>
      <c r="D9" s="399"/>
      <c r="E9" s="399"/>
      <c r="F9" s="400"/>
      <c r="G9" s="399"/>
      <c r="H9" s="399"/>
      <c r="I9" s="399"/>
      <c r="J9" s="606"/>
      <c r="K9" s="399"/>
      <c r="L9" s="399"/>
      <c r="M9" s="399"/>
      <c r="N9" s="399"/>
      <c r="O9" s="399"/>
    </row>
    <row r="10" spans="1:22" ht="85.5" customHeight="1">
      <c r="A10" s="2359" t="s">
        <v>730</v>
      </c>
      <c r="B10" s="2359" t="s">
        <v>2013</v>
      </c>
      <c r="C10" s="3065" t="s">
        <v>1072</v>
      </c>
      <c r="D10" s="2826" t="s">
        <v>1073</v>
      </c>
      <c r="E10" s="3067" t="s">
        <v>1091</v>
      </c>
      <c r="F10" s="2445" t="s">
        <v>1186</v>
      </c>
      <c r="G10" s="2625" t="s">
        <v>1088</v>
      </c>
      <c r="H10" s="2359" t="s">
        <v>2030</v>
      </c>
      <c r="I10" s="2445" t="s">
        <v>3099</v>
      </c>
      <c r="J10" s="2445" t="s">
        <v>3100</v>
      </c>
      <c r="K10" s="2489" t="s">
        <v>2148</v>
      </c>
      <c r="L10" s="2489" t="s">
        <v>2086</v>
      </c>
      <c r="M10" s="2359" t="s">
        <v>3097</v>
      </c>
      <c r="N10" s="2489" t="s">
        <v>2052</v>
      </c>
      <c r="O10" s="2489" t="s">
        <v>2921</v>
      </c>
      <c r="P10" s="2361" t="s">
        <v>731</v>
      </c>
      <c r="Q10" s="2361" t="s">
        <v>1093</v>
      </c>
      <c r="R10" s="2740" t="s">
        <v>732</v>
      </c>
      <c r="S10" s="2741"/>
      <c r="T10" s="2741"/>
      <c r="U10" s="2742"/>
      <c r="V10" s="2361" t="s">
        <v>733</v>
      </c>
    </row>
    <row r="11" spans="1:22" ht="34.5" customHeight="1">
      <c r="A11" s="2610"/>
      <c r="B11" s="2610"/>
      <c r="C11" s="3066"/>
      <c r="D11" s="2826"/>
      <c r="E11" s="3068"/>
      <c r="F11" s="2802"/>
      <c r="G11" s="2803"/>
      <c r="H11" s="2610"/>
      <c r="I11" s="2446"/>
      <c r="J11" s="2446"/>
      <c r="K11" s="2489"/>
      <c r="L11" s="2489"/>
      <c r="M11" s="2360"/>
      <c r="N11" s="2489"/>
      <c r="O11" s="2359"/>
      <c r="P11" s="3001"/>
      <c r="Q11" s="3001"/>
      <c r="R11" s="936">
        <v>2024</v>
      </c>
      <c r="S11" s="936">
        <v>2025</v>
      </c>
      <c r="T11" s="936">
        <v>2026</v>
      </c>
      <c r="U11" s="455">
        <v>2027</v>
      </c>
      <c r="V11" s="3001"/>
    </row>
    <row r="12" spans="1:22" ht="41.25" customHeight="1">
      <c r="A12" s="1017" t="s">
        <v>2160</v>
      </c>
      <c r="B12" s="954" t="s">
        <v>1253</v>
      </c>
      <c r="C12" s="1017"/>
      <c r="D12" s="1017"/>
      <c r="E12" s="1094">
        <f>SUM(E15,E17,E21,E23,E26,E29,E36,E38,E40,E45,E61,E79,)</f>
        <v>224.404</v>
      </c>
      <c r="F12" s="1368">
        <f>H12/E12-1</f>
        <v>1.9280583233810447</v>
      </c>
      <c r="G12" s="1094">
        <f>SUM(G15,G17,G21,G23,G26,G29,G36,G38,G40,G45,G61,G79,)</f>
        <v>626.70000000000005</v>
      </c>
      <c r="H12" s="1095">
        <f>SUM(H15,H17,H21,H23,H26,H29,H36,H38,H40,H45,H61,H79,)</f>
        <v>657.06799999999998</v>
      </c>
      <c r="I12" s="1096">
        <f>K12/H12-1</f>
        <v>1.3221036483286359</v>
      </c>
      <c r="J12" s="1702">
        <f>SUM(J15,J17,J21,J23,J26,J29,J36,J38,J40,J45,J61,J79,)</f>
        <v>1323.5790000000002</v>
      </c>
      <c r="K12" s="1095">
        <f>SUM(K15,K17,K21,K23,K26,K29,K36,K38,K40,K45,K61,K79,)</f>
        <v>1525.7800000000002</v>
      </c>
      <c r="L12" s="1095">
        <f>SUM(L15,L17,L21,L23,L26,L29,L36,L38,L40,L45,L61,L79,)</f>
        <v>452.29199999999997</v>
      </c>
      <c r="M12" s="1095">
        <f>SUM(M15,M17,M21,M23,M26,M29,M36,M38,M40,M45,M61,M79,)</f>
        <v>272.279</v>
      </c>
      <c r="N12" s="1017" t="s">
        <v>933</v>
      </c>
      <c r="O12" s="1509"/>
      <c r="P12" s="970" t="s">
        <v>1533</v>
      </c>
      <c r="Q12" s="970" t="s">
        <v>2361</v>
      </c>
      <c r="R12" s="970" t="s">
        <v>2765</v>
      </c>
      <c r="S12" s="970" t="s">
        <v>3750</v>
      </c>
      <c r="T12" s="970" t="s">
        <v>3750</v>
      </c>
      <c r="U12" s="970" t="s">
        <v>3750</v>
      </c>
      <c r="V12" s="970" t="s">
        <v>2361</v>
      </c>
    </row>
    <row r="13" spans="1:22" ht="37.9" customHeight="1">
      <c r="A13" s="2746" t="s">
        <v>2149</v>
      </c>
      <c r="B13" s="2355" t="s">
        <v>1254</v>
      </c>
      <c r="C13" s="2783">
        <v>188711925</v>
      </c>
      <c r="D13" s="1360" t="s">
        <v>2768</v>
      </c>
      <c r="E13" s="1099">
        <v>12.804</v>
      </c>
      <c r="F13" s="1361">
        <f>H13/E13-1</f>
        <v>-0.13308341143392699</v>
      </c>
      <c r="G13" s="1099">
        <v>0</v>
      </c>
      <c r="H13" s="1053">
        <f>19.54-H14</f>
        <v>11.1</v>
      </c>
      <c r="I13" s="1054">
        <f t="shared" ref="I13:I31" si="0">K13/H13-1</f>
        <v>7.2072072072072224E-2</v>
      </c>
      <c r="J13" s="948">
        <v>20</v>
      </c>
      <c r="K13" s="1053">
        <v>11.9</v>
      </c>
      <c r="L13" s="1053">
        <v>11.2</v>
      </c>
      <c r="M13" s="1053">
        <v>11.2</v>
      </c>
      <c r="N13" s="2998" t="s">
        <v>2365</v>
      </c>
      <c r="O13" s="2395" t="s">
        <v>2757</v>
      </c>
      <c r="P13" s="2344" t="s">
        <v>1534</v>
      </c>
      <c r="Q13" s="2344" t="s">
        <v>1550</v>
      </c>
      <c r="R13" s="2992" t="s">
        <v>1463</v>
      </c>
      <c r="S13" s="2342" t="s">
        <v>404</v>
      </c>
      <c r="T13" s="2342" t="s">
        <v>404</v>
      </c>
      <c r="U13" s="2343" t="s">
        <v>404</v>
      </c>
      <c r="V13" s="3002" t="s">
        <v>2366</v>
      </c>
    </row>
    <row r="14" spans="1:22" ht="38.450000000000003" customHeight="1">
      <c r="A14" s="2746"/>
      <c r="B14" s="2355"/>
      <c r="C14" s="2783"/>
      <c r="D14" s="1360" t="s">
        <v>3063</v>
      </c>
      <c r="E14" s="1099"/>
      <c r="F14" s="1361"/>
      <c r="G14" s="1099"/>
      <c r="H14" s="1053">
        <v>8.44</v>
      </c>
      <c r="I14" s="1054">
        <f t="shared" si="0"/>
        <v>0.58850710900473935</v>
      </c>
      <c r="J14" s="948"/>
      <c r="K14" s="1053">
        <v>13.407</v>
      </c>
      <c r="L14" s="1053"/>
      <c r="M14" s="1053"/>
      <c r="N14" s="2999"/>
      <c r="O14" s="2395"/>
      <c r="P14" s="2344"/>
      <c r="Q14" s="2344"/>
      <c r="R14" s="2992"/>
      <c r="S14" s="2342"/>
      <c r="T14" s="2342"/>
      <c r="U14" s="2345"/>
      <c r="V14" s="3004"/>
    </row>
    <row r="15" spans="1:22" ht="36.6" customHeight="1">
      <c r="A15" s="2727"/>
      <c r="B15" s="2465"/>
      <c r="C15" s="2466"/>
      <c r="D15" s="1056" t="s">
        <v>1076</v>
      </c>
      <c r="E15" s="1057">
        <f>SUM(E13:E13)</f>
        <v>12.804</v>
      </c>
      <c r="F15" s="1407">
        <f>H15/E15-1</f>
        <v>0.52608559825054657</v>
      </c>
      <c r="G15" s="1057">
        <f t="shared" ref="G15" si="1">SUM(G13:G13)</f>
        <v>0</v>
      </c>
      <c r="H15" s="1059">
        <f>SUM(H13:H14)</f>
        <v>19.54</v>
      </c>
      <c r="I15" s="1060">
        <f t="shared" si="0"/>
        <v>0.29513817809621301</v>
      </c>
      <c r="J15" s="1704">
        <f t="shared" ref="J15:M15" si="2">SUM(J13:J14)</f>
        <v>20</v>
      </c>
      <c r="K15" s="1059">
        <f t="shared" si="2"/>
        <v>25.307000000000002</v>
      </c>
      <c r="L15" s="1059">
        <f t="shared" si="2"/>
        <v>11.2</v>
      </c>
      <c r="M15" s="1059">
        <f t="shared" si="2"/>
        <v>11.2</v>
      </c>
      <c r="N15" s="2999"/>
      <c r="O15" s="2396"/>
      <c r="P15" s="2342"/>
      <c r="Q15" s="2342"/>
      <c r="R15" s="2993"/>
      <c r="S15" s="2342"/>
      <c r="T15" s="2342"/>
      <c r="U15" s="2344"/>
      <c r="V15" s="3004"/>
    </row>
    <row r="16" spans="1:22" ht="49.15" customHeight="1">
      <c r="A16" s="2746" t="s">
        <v>2150</v>
      </c>
      <c r="B16" s="2355" t="s">
        <v>1255</v>
      </c>
      <c r="C16" s="2783" t="s">
        <v>1080</v>
      </c>
      <c r="D16" s="1360" t="s">
        <v>471</v>
      </c>
      <c r="E16" s="1099"/>
      <c r="F16" s="1099"/>
      <c r="G16" s="1099"/>
      <c r="H16" s="1053"/>
      <c r="I16" s="1054"/>
      <c r="J16" s="948"/>
      <c r="K16" s="1053"/>
      <c r="L16" s="1053"/>
      <c r="M16" s="1053"/>
      <c r="N16" s="2999"/>
      <c r="O16" s="2395" t="s">
        <v>2758</v>
      </c>
      <c r="P16" s="2344" t="s">
        <v>1535</v>
      </c>
      <c r="Q16" s="2344" t="s">
        <v>1551</v>
      </c>
      <c r="R16" s="2992" t="s">
        <v>404</v>
      </c>
      <c r="S16" s="2342" t="s">
        <v>404</v>
      </c>
      <c r="T16" s="2342" t="s">
        <v>404</v>
      </c>
      <c r="U16" s="2343" t="s">
        <v>404</v>
      </c>
      <c r="V16" s="3004"/>
    </row>
    <row r="17" spans="1:23" ht="38.450000000000003" customHeight="1">
      <c r="A17" s="2727"/>
      <c r="B17" s="2465"/>
      <c r="C17" s="2466"/>
      <c r="D17" s="1056" t="s">
        <v>1076</v>
      </c>
      <c r="E17" s="1057">
        <f>SUM(E16:E16)</f>
        <v>0</v>
      </c>
      <c r="F17" s="1057">
        <f t="shared" ref="F17:M17" si="3">SUM(F16:F16)</f>
        <v>0</v>
      </c>
      <c r="G17" s="1057">
        <f t="shared" si="3"/>
        <v>0</v>
      </c>
      <c r="H17" s="1059">
        <f t="shared" si="3"/>
        <v>0</v>
      </c>
      <c r="I17" s="1060"/>
      <c r="J17" s="1704"/>
      <c r="K17" s="1059">
        <f t="shared" si="3"/>
        <v>0</v>
      </c>
      <c r="L17" s="1059">
        <f t="shared" si="3"/>
        <v>0</v>
      </c>
      <c r="M17" s="1059">
        <f t="shared" si="3"/>
        <v>0</v>
      </c>
      <c r="N17" s="2999"/>
      <c r="O17" s="2396"/>
      <c r="P17" s="2342"/>
      <c r="Q17" s="2342"/>
      <c r="R17" s="2993"/>
      <c r="S17" s="2342"/>
      <c r="T17" s="2342"/>
      <c r="U17" s="2344"/>
      <c r="V17" s="3004"/>
    </row>
    <row r="18" spans="1:23" ht="36" customHeight="1">
      <c r="A18" s="2746" t="s">
        <v>2151</v>
      </c>
      <c r="B18" s="2355" t="s">
        <v>1256</v>
      </c>
      <c r="C18" s="2783" t="s">
        <v>1208</v>
      </c>
      <c r="D18" s="1360" t="s">
        <v>1081</v>
      </c>
      <c r="E18" s="1099">
        <v>142</v>
      </c>
      <c r="F18" s="1361">
        <f>H18/E18-1</f>
        <v>9.5352112676056366E-2</v>
      </c>
      <c r="G18" s="1099">
        <v>149.69999999999999</v>
      </c>
      <c r="H18" s="1053">
        <f>142.54+13</f>
        <v>155.54</v>
      </c>
      <c r="I18" s="1054">
        <f t="shared" si="0"/>
        <v>6.3456345634563593E-2</v>
      </c>
      <c r="J18" s="948">
        <v>152.88999999999999</v>
      </c>
      <c r="K18" s="1053">
        <v>165.41</v>
      </c>
      <c r="L18" s="1053">
        <f>165.41+1.233</f>
        <v>166.643</v>
      </c>
      <c r="M18" s="1053">
        <f>165.41+2.467</f>
        <v>167.87700000000001</v>
      </c>
      <c r="N18" s="2999"/>
      <c r="O18" s="2368" t="s">
        <v>1833</v>
      </c>
      <c r="P18" s="2344" t="s">
        <v>1536</v>
      </c>
      <c r="Q18" s="2344" t="s">
        <v>1552</v>
      </c>
      <c r="R18" s="2992" t="s">
        <v>1553</v>
      </c>
      <c r="S18" s="2342" t="s">
        <v>3752</v>
      </c>
      <c r="T18" s="2342" t="s">
        <v>3752</v>
      </c>
      <c r="U18" s="2343" t="s">
        <v>3752</v>
      </c>
      <c r="V18" s="3004"/>
    </row>
    <row r="19" spans="1:23" ht="33.6" customHeight="1">
      <c r="A19" s="2746"/>
      <c r="B19" s="2355"/>
      <c r="C19" s="2783"/>
      <c r="D19" s="1360" t="s">
        <v>471</v>
      </c>
      <c r="E19" s="1099"/>
      <c r="F19" s="1705"/>
      <c r="G19" s="1099"/>
      <c r="H19" s="1053"/>
      <c r="I19" s="1604"/>
      <c r="J19" s="948">
        <v>3.5</v>
      </c>
      <c r="K19" s="1053">
        <v>4.13</v>
      </c>
      <c r="L19" s="1053"/>
      <c r="M19" s="1053"/>
      <c r="N19" s="2999"/>
      <c r="O19" s="2368"/>
      <c r="P19" s="2344"/>
      <c r="Q19" s="2344"/>
      <c r="R19" s="2992"/>
      <c r="S19" s="2342"/>
      <c r="T19" s="2342"/>
      <c r="U19" s="2345"/>
      <c r="V19" s="3004"/>
    </row>
    <row r="20" spans="1:23" ht="33.6" customHeight="1">
      <c r="A20" s="2746"/>
      <c r="B20" s="2355"/>
      <c r="C20" s="2783"/>
      <c r="D20" s="1360" t="s">
        <v>2928</v>
      </c>
      <c r="E20" s="1099"/>
      <c r="F20" s="1705"/>
      <c r="G20" s="1099"/>
      <c r="H20" s="1053"/>
      <c r="I20" s="1604"/>
      <c r="J20" s="948"/>
      <c r="K20" s="1051"/>
      <c r="L20" s="1053"/>
      <c r="M20" s="1053"/>
      <c r="N20" s="2999"/>
      <c r="O20" s="2368"/>
      <c r="P20" s="2344"/>
      <c r="Q20" s="2344"/>
      <c r="R20" s="2992"/>
      <c r="S20" s="2342"/>
      <c r="T20" s="2342"/>
      <c r="U20" s="2345"/>
      <c r="V20" s="3004"/>
    </row>
    <row r="21" spans="1:23" ht="39.6" customHeight="1">
      <c r="A21" s="2727"/>
      <c r="B21" s="2465"/>
      <c r="C21" s="2466"/>
      <c r="D21" s="1056" t="s">
        <v>1076</v>
      </c>
      <c r="E21" s="1057">
        <f>SUM(E18:E18)</f>
        <v>142</v>
      </c>
      <c r="F21" s="1407">
        <f>H21/E21-1</f>
        <v>9.5352112676056366E-2</v>
      </c>
      <c r="G21" s="1057">
        <f t="shared" ref="G21:J21" si="4">SUM(G18:G18)</f>
        <v>149.69999999999999</v>
      </c>
      <c r="H21" s="1059">
        <f t="shared" si="4"/>
        <v>155.54</v>
      </c>
      <c r="I21" s="1060">
        <f t="shared" si="0"/>
        <v>9.0009000900090008E-2</v>
      </c>
      <c r="J21" s="1704">
        <f t="shared" si="4"/>
        <v>152.88999999999999</v>
      </c>
      <c r="K21" s="1059">
        <f>SUM(K18,K19,K20,)</f>
        <v>169.54</v>
      </c>
      <c r="L21" s="1059">
        <f t="shared" ref="L21:M21" si="5">SUM(L18,L19,L20,)</f>
        <v>166.643</v>
      </c>
      <c r="M21" s="1059">
        <f t="shared" si="5"/>
        <v>167.87700000000001</v>
      </c>
      <c r="N21" s="2999"/>
      <c r="O21" s="2341"/>
      <c r="P21" s="2342"/>
      <c r="Q21" s="2342"/>
      <c r="R21" s="2993"/>
      <c r="S21" s="2342"/>
      <c r="T21" s="2342"/>
      <c r="U21" s="2344"/>
      <c r="V21" s="3004"/>
    </row>
    <row r="22" spans="1:23" ht="38.450000000000003" customHeight="1">
      <c r="A22" s="2746" t="s">
        <v>2152</v>
      </c>
      <c r="B22" s="2355" t="s">
        <v>1257</v>
      </c>
      <c r="C22" s="2783" t="s">
        <v>1208</v>
      </c>
      <c r="D22" s="1360" t="s">
        <v>471</v>
      </c>
      <c r="E22" s="1099"/>
      <c r="F22" s="1099"/>
      <c r="G22" s="1099"/>
      <c r="H22" s="1053"/>
      <c r="I22" s="1054"/>
      <c r="J22" s="948">
        <f>J24</f>
        <v>20</v>
      </c>
      <c r="K22" s="1053">
        <f t="shared" ref="K22:L22" si="6">K24</f>
        <v>20</v>
      </c>
      <c r="L22" s="1053">
        <f t="shared" si="6"/>
        <v>2</v>
      </c>
      <c r="M22" s="1053">
        <v>2.9990000000000001</v>
      </c>
      <c r="N22" s="2999"/>
      <c r="O22" s="2395" t="s">
        <v>3751</v>
      </c>
      <c r="P22" s="2344" t="s">
        <v>1537</v>
      </c>
      <c r="Q22" s="2344" t="s">
        <v>3753</v>
      </c>
      <c r="R22" s="2992" t="s">
        <v>4</v>
      </c>
      <c r="S22" s="2342" t="s">
        <v>3754</v>
      </c>
      <c r="T22" s="2342" t="s">
        <v>3756</v>
      </c>
      <c r="U22" s="2343" t="s">
        <v>3755</v>
      </c>
      <c r="V22" s="3004"/>
    </row>
    <row r="23" spans="1:23" ht="48" customHeight="1">
      <c r="A23" s="2727"/>
      <c r="B23" s="2465"/>
      <c r="C23" s="2466"/>
      <c r="D23" s="1056" t="s">
        <v>1076</v>
      </c>
      <c r="E23" s="1057">
        <f>SUM(E22:E22)</f>
        <v>0</v>
      </c>
      <c r="F23" s="1057">
        <f t="shared" ref="F23:H23" si="7">SUM(F22:F22)</f>
        <v>0</v>
      </c>
      <c r="G23" s="1057">
        <f t="shared" si="7"/>
        <v>0</v>
      </c>
      <c r="H23" s="1059">
        <f t="shared" si="7"/>
        <v>0</v>
      </c>
      <c r="I23" s="1060"/>
      <c r="J23" s="1704">
        <f>J22</f>
        <v>20</v>
      </c>
      <c r="K23" s="1059">
        <f t="shared" ref="K23:M23" si="8">K22</f>
        <v>20</v>
      </c>
      <c r="L23" s="1059">
        <f t="shared" si="8"/>
        <v>2</v>
      </c>
      <c r="M23" s="1059">
        <f t="shared" si="8"/>
        <v>2.9990000000000001</v>
      </c>
      <c r="N23" s="2999"/>
      <c r="O23" s="2396"/>
      <c r="P23" s="2342"/>
      <c r="Q23" s="2342"/>
      <c r="R23" s="2993"/>
      <c r="S23" s="2342"/>
      <c r="T23" s="2342"/>
      <c r="U23" s="2344"/>
      <c r="V23" s="3004"/>
    </row>
    <row r="24" spans="1:23" ht="51.6" hidden="1" customHeight="1">
      <c r="A24" s="1706" t="s">
        <v>3351</v>
      </c>
      <c r="B24" s="1031"/>
      <c r="C24" s="1707"/>
      <c r="D24" s="1376"/>
      <c r="E24" s="1708"/>
      <c r="F24" s="1708"/>
      <c r="G24" s="1708"/>
      <c r="H24" s="1005"/>
      <c r="I24" s="1126"/>
      <c r="J24" s="1068">
        <v>20</v>
      </c>
      <c r="K24" s="989">
        <v>20</v>
      </c>
      <c r="L24" s="989">
        <v>2</v>
      </c>
      <c r="M24" s="989">
        <v>3</v>
      </c>
      <c r="N24" s="2999"/>
      <c r="O24" s="1396" t="s">
        <v>3352</v>
      </c>
      <c r="P24" s="1032"/>
      <c r="Q24" s="1032"/>
      <c r="R24" s="1033"/>
      <c r="S24" s="1004"/>
      <c r="T24" s="1004"/>
      <c r="U24" s="1004"/>
      <c r="V24" s="3004"/>
    </row>
    <row r="25" spans="1:23" ht="30.6" hidden="1" customHeight="1">
      <c r="A25" s="2746" t="s">
        <v>2153</v>
      </c>
      <c r="B25" s="2355" t="s">
        <v>1258</v>
      </c>
      <c r="C25" s="2783" t="s">
        <v>1208</v>
      </c>
      <c r="D25" s="1360" t="s">
        <v>471</v>
      </c>
      <c r="E25" s="1099"/>
      <c r="F25" s="1099"/>
      <c r="G25" s="1099"/>
      <c r="H25" s="1053"/>
      <c r="I25" s="1054"/>
      <c r="J25" s="948"/>
      <c r="K25" s="1053"/>
      <c r="L25" s="1053"/>
      <c r="M25" s="1053"/>
      <c r="N25" s="2999"/>
      <c r="O25" s="2395"/>
      <c r="P25" s="2344" t="s">
        <v>1538</v>
      </c>
      <c r="Q25" s="2698" t="s">
        <v>1554</v>
      </c>
      <c r="R25" s="2992"/>
      <c r="S25" s="2342"/>
      <c r="T25" s="2342"/>
      <c r="U25" s="2343"/>
      <c r="V25" s="3004"/>
    </row>
    <row r="26" spans="1:23" ht="37.9" hidden="1" customHeight="1">
      <c r="A26" s="2727"/>
      <c r="B26" s="2465"/>
      <c r="C26" s="2466"/>
      <c r="D26" s="1056" t="s">
        <v>1076</v>
      </c>
      <c r="E26" s="1057">
        <f>SUM(E25:E25)</f>
        <v>0</v>
      </c>
      <c r="F26" s="1057">
        <f t="shared" ref="F26:M26" si="9">SUM(F25:F25)</f>
        <v>0</v>
      </c>
      <c r="G26" s="1057">
        <f t="shared" si="9"/>
        <v>0</v>
      </c>
      <c r="H26" s="1059">
        <f t="shared" si="9"/>
        <v>0</v>
      </c>
      <c r="I26" s="1060"/>
      <c r="J26" s="1704"/>
      <c r="K26" s="1059">
        <f t="shared" si="9"/>
        <v>0</v>
      </c>
      <c r="L26" s="1059">
        <f t="shared" si="9"/>
        <v>0</v>
      </c>
      <c r="M26" s="1059">
        <f t="shared" si="9"/>
        <v>0</v>
      </c>
      <c r="N26" s="2999"/>
      <c r="O26" s="2396"/>
      <c r="P26" s="2342"/>
      <c r="Q26" s="2856"/>
      <c r="R26" s="2993"/>
      <c r="S26" s="2342"/>
      <c r="T26" s="2342"/>
      <c r="U26" s="2344"/>
      <c r="V26" s="3004"/>
    </row>
    <row r="27" spans="1:23" ht="34.5" customHeight="1">
      <c r="A27" s="3069" t="s">
        <v>2154</v>
      </c>
      <c r="B27" s="2354" t="s">
        <v>2764</v>
      </c>
      <c r="C27" s="2754" t="s">
        <v>1080</v>
      </c>
      <c r="D27" s="1360" t="s">
        <v>471</v>
      </c>
      <c r="E27" s="1099">
        <f>E33</f>
        <v>0.6</v>
      </c>
      <c r="F27" s="1361">
        <f>H27/E27-1</f>
        <v>0.16666666666666674</v>
      </c>
      <c r="G27" s="1099">
        <v>0.7</v>
      </c>
      <c r="H27" s="1053">
        <v>0.7</v>
      </c>
      <c r="I27" s="1054">
        <f t="shared" si="0"/>
        <v>0.14285714285714302</v>
      </c>
      <c r="J27" s="948"/>
      <c r="K27" s="1053">
        <v>0.8</v>
      </c>
      <c r="L27" s="1053">
        <v>0.8</v>
      </c>
      <c r="M27" s="1053">
        <v>0.8</v>
      </c>
      <c r="N27" s="2999"/>
      <c r="O27" s="2349" t="s">
        <v>1561</v>
      </c>
      <c r="P27" s="2342" t="s">
        <v>1539</v>
      </c>
      <c r="Q27" s="2342" t="s">
        <v>2657</v>
      </c>
      <c r="R27" s="2992" t="s">
        <v>1555</v>
      </c>
      <c r="S27" s="2342" t="s">
        <v>1555</v>
      </c>
      <c r="T27" s="2342" t="s">
        <v>1555</v>
      </c>
      <c r="U27" s="2343" t="s">
        <v>1555</v>
      </c>
      <c r="V27" s="3004"/>
    </row>
    <row r="28" spans="1:23" ht="35.25" customHeight="1">
      <c r="A28" s="2849"/>
      <c r="B28" s="2617"/>
      <c r="C28" s="2755"/>
      <c r="D28" s="1050" t="s">
        <v>1081</v>
      </c>
      <c r="E28" s="1051">
        <f>E32</f>
        <v>1.8</v>
      </c>
      <c r="F28" s="1361">
        <f>H28/E28-1</f>
        <v>5.555555555555558E-2</v>
      </c>
      <c r="G28" s="1051">
        <v>1.9</v>
      </c>
      <c r="H28" s="1053">
        <v>1.9</v>
      </c>
      <c r="I28" s="1054">
        <f t="shared" si="0"/>
        <v>0.84210526315789491</v>
      </c>
      <c r="J28" s="948">
        <v>3.5</v>
      </c>
      <c r="K28" s="1053">
        <v>3.5</v>
      </c>
      <c r="L28" s="1053">
        <f>3.5+1.233</f>
        <v>4.7330000000000005</v>
      </c>
      <c r="M28" s="1053">
        <f>3.5+2.466</f>
        <v>5.9660000000000002</v>
      </c>
      <c r="N28" s="2999"/>
      <c r="O28" s="2363"/>
      <c r="P28" s="2342"/>
      <c r="Q28" s="2342"/>
      <c r="R28" s="2993"/>
      <c r="S28" s="2342"/>
      <c r="T28" s="2342"/>
      <c r="U28" s="2345"/>
      <c r="V28" s="3004"/>
    </row>
    <row r="29" spans="1:23" s="401" customFormat="1" ht="15.6" customHeight="1">
      <c r="A29" s="2849"/>
      <c r="B29" s="2617"/>
      <c r="C29" s="2755"/>
      <c r="D29" s="3055" t="s">
        <v>1076</v>
      </c>
      <c r="E29" s="3058">
        <f>SUM(E27:E28)</f>
        <v>2.4</v>
      </c>
      <c r="F29" s="3061">
        <f t="shared" ref="F29:L29" si="10">SUM(F27:F28)</f>
        <v>0.22222222222222232</v>
      </c>
      <c r="G29" s="3058">
        <f t="shared" si="10"/>
        <v>2.5999999999999996</v>
      </c>
      <c r="H29" s="3064">
        <f t="shared" si="10"/>
        <v>2.5999999999999996</v>
      </c>
      <c r="I29" s="3071">
        <f t="shared" si="0"/>
        <v>0.65384615384615397</v>
      </c>
      <c r="J29" s="3074"/>
      <c r="K29" s="3064">
        <f t="shared" si="10"/>
        <v>4.3</v>
      </c>
      <c r="L29" s="3064">
        <f t="shared" si="10"/>
        <v>5.5330000000000004</v>
      </c>
      <c r="M29" s="3064">
        <f t="shared" ref="M29" si="11">SUM(M27:M28)</f>
        <v>6.766</v>
      </c>
      <c r="N29" s="2999"/>
      <c r="O29" s="2363"/>
      <c r="P29" s="2342"/>
      <c r="Q29" s="2342"/>
      <c r="R29" s="2993"/>
      <c r="S29" s="2342"/>
      <c r="T29" s="2342"/>
      <c r="U29" s="2344"/>
      <c r="V29" s="3004"/>
    </row>
    <row r="30" spans="1:23" s="401" customFormat="1" ht="44.25" customHeight="1">
      <c r="A30" s="2849"/>
      <c r="B30" s="2617"/>
      <c r="C30" s="2755"/>
      <c r="D30" s="3056"/>
      <c r="E30" s="3059"/>
      <c r="F30" s="3062"/>
      <c r="G30" s="3059"/>
      <c r="H30" s="3064"/>
      <c r="I30" s="3072" t="e">
        <f t="shared" si="0"/>
        <v>#DIV/0!</v>
      </c>
      <c r="J30" s="3075"/>
      <c r="K30" s="3064"/>
      <c r="L30" s="3064"/>
      <c r="M30" s="3064"/>
      <c r="N30" s="2999"/>
      <c r="O30" s="2363"/>
      <c r="P30" s="2342"/>
      <c r="Q30" s="947" t="s">
        <v>2658</v>
      </c>
      <c r="R30" s="1703" t="s">
        <v>1555</v>
      </c>
      <c r="S30" s="947" t="s">
        <v>1555</v>
      </c>
      <c r="T30" s="947" t="s">
        <v>1555</v>
      </c>
      <c r="U30" s="947" t="s">
        <v>1555</v>
      </c>
      <c r="V30" s="3004"/>
      <c r="W30" s="401" t="s">
        <v>2763</v>
      </c>
    </row>
    <row r="31" spans="1:23" s="401" customFormat="1" ht="45" customHeight="1">
      <c r="A31" s="3070"/>
      <c r="B31" s="2355"/>
      <c r="C31" s="2783"/>
      <c r="D31" s="3057"/>
      <c r="E31" s="3060"/>
      <c r="F31" s="3063"/>
      <c r="G31" s="3060"/>
      <c r="H31" s="3064"/>
      <c r="I31" s="3073" t="e">
        <f t="shared" si="0"/>
        <v>#DIV/0!</v>
      </c>
      <c r="J31" s="3076"/>
      <c r="K31" s="3064"/>
      <c r="L31" s="3064"/>
      <c r="M31" s="3064"/>
      <c r="N31" s="2999"/>
      <c r="O31" s="2363"/>
      <c r="P31" s="2342"/>
      <c r="Q31" s="2342" t="s">
        <v>2659</v>
      </c>
      <c r="R31" s="1703" t="s">
        <v>324</v>
      </c>
      <c r="S31" s="2342" t="s">
        <v>324</v>
      </c>
      <c r="T31" s="2342" t="s">
        <v>324</v>
      </c>
      <c r="U31" s="2343" t="s">
        <v>324</v>
      </c>
      <c r="V31" s="3004"/>
    </row>
    <row r="32" spans="1:23" s="401" customFormat="1" ht="18.600000000000001" hidden="1" customHeight="1">
      <c r="A32" s="1414"/>
      <c r="B32" s="1020" t="s">
        <v>1390</v>
      </c>
      <c r="C32" s="1415"/>
      <c r="D32" s="986" t="s">
        <v>1448</v>
      </c>
      <c r="E32" s="1066">
        <v>1.8</v>
      </c>
      <c r="F32" s="1066"/>
      <c r="G32" s="1066"/>
      <c r="H32" s="989">
        <v>1.9</v>
      </c>
      <c r="I32" s="989"/>
      <c r="J32" s="1068"/>
      <c r="K32" s="989"/>
      <c r="L32" s="989"/>
      <c r="M32" s="989"/>
      <c r="N32" s="2999"/>
      <c r="O32" s="2363"/>
      <c r="P32" s="2342"/>
      <c r="Q32" s="2342"/>
      <c r="R32" s="1710"/>
      <c r="S32" s="2342"/>
      <c r="T32" s="2342"/>
      <c r="U32" s="2345"/>
      <c r="V32" s="3004"/>
    </row>
    <row r="33" spans="1:22" s="401" customFormat="1" ht="17.45" hidden="1" customHeight="1">
      <c r="A33" s="1414"/>
      <c r="B33" s="1020" t="s">
        <v>339</v>
      </c>
      <c r="C33" s="1415"/>
      <c r="D33" s="986" t="s">
        <v>471</v>
      </c>
      <c r="E33" s="1066">
        <v>0.6</v>
      </c>
      <c r="F33" s="1066"/>
      <c r="G33" s="1066">
        <v>0.7</v>
      </c>
      <c r="H33" s="989">
        <v>0.7</v>
      </c>
      <c r="I33" s="989"/>
      <c r="J33" s="1068">
        <v>0.8</v>
      </c>
      <c r="K33" s="989">
        <v>0.8</v>
      </c>
      <c r="L33" s="989">
        <v>0.8</v>
      </c>
      <c r="M33" s="989">
        <v>0.8</v>
      </c>
      <c r="N33" s="3000"/>
      <c r="O33" s="2350"/>
      <c r="P33" s="2342"/>
      <c r="Q33" s="2342"/>
      <c r="R33" s="1710"/>
      <c r="S33" s="2342"/>
      <c r="T33" s="2342"/>
      <c r="U33" s="2344"/>
      <c r="V33" s="3003"/>
    </row>
    <row r="34" spans="1:22" ht="33.6" hidden="1" customHeight="1">
      <c r="A34" s="3127" t="s">
        <v>2155</v>
      </c>
      <c r="B34" s="3051" t="s">
        <v>3062</v>
      </c>
      <c r="C34" s="3053" t="s">
        <v>1208</v>
      </c>
      <c r="D34" s="1711" t="s">
        <v>471</v>
      </c>
      <c r="E34" s="1712">
        <v>10</v>
      </c>
      <c r="F34" s="1712"/>
      <c r="G34" s="1712"/>
      <c r="H34" s="1497"/>
      <c r="I34" s="1497"/>
      <c r="J34" s="1713"/>
      <c r="K34" s="1497"/>
      <c r="L34" s="1497"/>
      <c r="M34" s="1497"/>
      <c r="N34" s="3027"/>
      <c r="O34" s="3030" t="s">
        <v>2371</v>
      </c>
      <c r="P34" s="2851" t="s">
        <v>1540</v>
      </c>
      <c r="Q34" s="2851" t="s">
        <v>1556</v>
      </c>
      <c r="R34" s="2996" t="s">
        <v>434</v>
      </c>
      <c r="S34" s="2851" t="s">
        <v>434</v>
      </c>
      <c r="T34" s="2851" t="s">
        <v>434</v>
      </c>
      <c r="U34" s="2852"/>
      <c r="V34" s="3077"/>
    </row>
    <row r="35" spans="1:22" ht="26.45" hidden="1" customHeight="1">
      <c r="A35" s="2997"/>
      <c r="B35" s="3052"/>
      <c r="C35" s="3054"/>
      <c r="D35" s="1492" t="s">
        <v>246</v>
      </c>
      <c r="E35" s="1495"/>
      <c r="F35" s="1495"/>
      <c r="G35" s="1495"/>
      <c r="H35" s="1497">
        <v>4.9880000000000004</v>
      </c>
      <c r="I35" s="1497"/>
      <c r="J35" s="1713"/>
      <c r="K35" s="1497"/>
      <c r="L35" s="1497"/>
      <c r="M35" s="1497"/>
      <c r="N35" s="3028"/>
      <c r="O35" s="3031"/>
      <c r="P35" s="2851"/>
      <c r="Q35" s="2851"/>
      <c r="R35" s="3005"/>
      <c r="S35" s="2851"/>
      <c r="T35" s="2851"/>
      <c r="U35" s="2917"/>
      <c r="V35" s="3078"/>
    </row>
    <row r="36" spans="1:22" ht="29.45" hidden="1" customHeight="1">
      <c r="A36" s="2997"/>
      <c r="B36" s="3052"/>
      <c r="C36" s="3054"/>
      <c r="D36" s="1716" t="s">
        <v>1076</v>
      </c>
      <c r="E36" s="1495">
        <f>SUM(E34:E35)</f>
        <v>10</v>
      </c>
      <c r="F36" s="1495">
        <f t="shared" ref="F36:L36" si="12">SUM(F34:F35)</f>
        <v>0</v>
      </c>
      <c r="G36" s="1495">
        <f t="shared" si="12"/>
        <v>0</v>
      </c>
      <c r="H36" s="1497">
        <f t="shared" si="12"/>
        <v>4.9880000000000004</v>
      </c>
      <c r="I36" s="1497"/>
      <c r="J36" s="1713"/>
      <c r="K36" s="1497">
        <f t="shared" si="12"/>
        <v>0</v>
      </c>
      <c r="L36" s="1497">
        <f t="shared" si="12"/>
        <v>0</v>
      </c>
      <c r="M36" s="1497"/>
      <c r="N36" s="3029"/>
      <c r="O36" s="3031"/>
      <c r="P36" s="2851"/>
      <c r="Q36" s="2851"/>
      <c r="R36" s="3005"/>
      <c r="S36" s="2851"/>
      <c r="T36" s="2851"/>
      <c r="U36" s="2918"/>
      <c r="V36" s="3079"/>
    </row>
    <row r="37" spans="1:22" ht="49.15" customHeight="1">
      <c r="A37" s="2746" t="s">
        <v>2156</v>
      </c>
      <c r="B37" s="2355" t="s">
        <v>1259</v>
      </c>
      <c r="C37" s="2783" t="s">
        <v>1208</v>
      </c>
      <c r="D37" s="1360" t="s">
        <v>1081</v>
      </c>
      <c r="E37" s="1099">
        <v>37.200000000000003</v>
      </c>
      <c r="F37" s="1361">
        <f>H37/E37-1</f>
        <v>0.46236559139784927</v>
      </c>
      <c r="G37" s="1099">
        <v>54.4</v>
      </c>
      <c r="H37" s="1053">
        <v>54.4</v>
      </c>
      <c r="I37" s="1054">
        <f t="shared" ref="I37:I45" si="13">K37/H37-1</f>
        <v>-7.9044117647059098E-3</v>
      </c>
      <c r="J37" s="948">
        <v>53.96</v>
      </c>
      <c r="K37" s="1053">
        <v>53.97</v>
      </c>
      <c r="L37" s="1053">
        <f>53.97+1.234</f>
        <v>55.204000000000001</v>
      </c>
      <c r="M37" s="1053">
        <f>53.97+2.467</f>
        <v>56.436999999999998</v>
      </c>
      <c r="N37" s="2998" t="s">
        <v>2365</v>
      </c>
      <c r="O37" s="2395" t="s">
        <v>1562</v>
      </c>
      <c r="P37" s="2342" t="s">
        <v>1541</v>
      </c>
      <c r="Q37" s="2342" t="s">
        <v>2759</v>
      </c>
      <c r="R37" s="2992" t="s">
        <v>1557</v>
      </c>
      <c r="S37" s="2342" t="s">
        <v>3757</v>
      </c>
      <c r="T37" s="2342" t="s">
        <v>3757</v>
      </c>
      <c r="U37" s="2343" t="s">
        <v>3757</v>
      </c>
      <c r="V37" s="3002" t="s">
        <v>2366</v>
      </c>
    </row>
    <row r="38" spans="1:22" ht="46.9" customHeight="1">
      <c r="A38" s="2727"/>
      <c r="B38" s="2465"/>
      <c r="C38" s="2466"/>
      <c r="D38" s="1056" t="s">
        <v>1076</v>
      </c>
      <c r="E38" s="1057">
        <f>SUM(E37:E37)</f>
        <v>37.200000000000003</v>
      </c>
      <c r="F38" s="1407">
        <f t="shared" ref="F38:M38" si="14">SUM(F37:F37)</f>
        <v>0.46236559139784927</v>
      </c>
      <c r="G38" s="1057">
        <f t="shared" si="14"/>
        <v>54.4</v>
      </c>
      <c r="H38" s="1059">
        <f t="shared" si="14"/>
        <v>54.4</v>
      </c>
      <c r="I38" s="1060">
        <f t="shared" si="13"/>
        <v>-7.9044117647059098E-3</v>
      </c>
      <c r="J38" s="1704">
        <f t="shared" si="14"/>
        <v>53.96</v>
      </c>
      <c r="K38" s="1059">
        <f t="shared" si="14"/>
        <v>53.97</v>
      </c>
      <c r="L38" s="1059">
        <f t="shared" si="14"/>
        <v>55.204000000000001</v>
      </c>
      <c r="M38" s="1059">
        <f t="shared" si="14"/>
        <v>56.436999999999998</v>
      </c>
      <c r="N38" s="3000"/>
      <c r="O38" s="2396"/>
      <c r="P38" s="2342"/>
      <c r="Q38" s="2342"/>
      <c r="R38" s="2993"/>
      <c r="S38" s="2342"/>
      <c r="T38" s="2342"/>
      <c r="U38" s="2344"/>
      <c r="V38" s="3003"/>
    </row>
    <row r="39" spans="1:22" ht="48.6" customHeight="1">
      <c r="A39" s="2746" t="s">
        <v>2157</v>
      </c>
      <c r="B39" s="2355" t="s">
        <v>1260</v>
      </c>
      <c r="C39" s="2783" t="s">
        <v>1208</v>
      </c>
      <c r="D39" s="1360" t="s">
        <v>471</v>
      </c>
      <c r="E39" s="1099">
        <v>20</v>
      </c>
      <c r="F39" s="1361">
        <f>H39/E39-1</f>
        <v>0</v>
      </c>
      <c r="G39" s="1099">
        <v>20</v>
      </c>
      <c r="H39" s="1053">
        <v>20</v>
      </c>
      <c r="I39" s="1054">
        <f t="shared" si="13"/>
        <v>0.25</v>
      </c>
      <c r="J39" s="948">
        <v>25</v>
      </c>
      <c r="K39" s="1053">
        <v>25</v>
      </c>
      <c r="L39" s="1053">
        <v>25</v>
      </c>
      <c r="M39" s="1053">
        <v>25</v>
      </c>
      <c r="N39" s="2998" t="s">
        <v>2362</v>
      </c>
      <c r="O39" s="2395" t="s">
        <v>2963</v>
      </c>
      <c r="P39" s="2344" t="s">
        <v>1542</v>
      </c>
      <c r="Q39" s="2344" t="s">
        <v>1558</v>
      </c>
      <c r="R39" s="2992" t="s">
        <v>433</v>
      </c>
      <c r="S39" s="2343" t="s">
        <v>1409</v>
      </c>
      <c r="T39" s="2343" t="s">
        <v>1409</v>
      </c>
      <c r="U39" s="2343" t="s">
        <v>1409</v>
      </c>
      <c r="V39" s="1717" t="s">
        <v>2363</v>
      </c>
    </row>
    <row r="40" spans="1:22" ht="93.75" customHeight="1">
      <c r="A40" s="2727"/>
      <c r="B40" s="2465"/>
      <c r="C40" s="2466"/>
      <c r="D40" s="1056" t="s">
        <v>1076</v>
      </c>
      <c r="E40" s="1057">
        <f>SUM(E39:E39)</f>
        <v>20</v>
      </c>
      <c r="F40" s="1057">
        <f t="shared" ref="F40:M40" si="15">SUM(F39:F39)</f>
        <v>0</v>
      </c>
      <c r="G40" s="1057">
        <f t="shared" si="15"/>
        <v>20</v>
      </c>
      <c r="H40" s="1059">
        <f t="shared" si="15"/>
        <v>20</v>
      </c>
      <c r="I40" s="1060">
        <f t="shared" si="13"/>
        <v>0.25</v>
      </c>
      <c r="J40" s="1704">
        <f t="shared" si="15"/>
        <v>25</v>
      </c>
      <c r="K40" s="1059">
        <f t="shared" si="15"/>
        <v>25</v>
      </c>
      <c r="L40" s="1059">
        <f t="shared" si="15"/>
        <v>25</v>
      </c>
      <c r="M40" s="1059">
        <f t="shared" si="15"/>
        <v>25</v>
      </c>
      <c r="N40" s="3000"/>
      <c r="O40" s="2396"/>
      <c r="P40" s="2342"/>
      <c r="Q40" s="2342"/>
      <c r="R40" s="2993"/>
      <c r="S40" s="2344"/>
      <c r="T40" s="2344"/>
      <c r="U40" s="2344"/>
      <c r="V40" s="1717" t="s">
        <v>2364</v>
      </c>
    </row>
    <row r="41" spans="1:22" ht="41.25" customHeight="1">
      <c r="A41" s="2746" t="s">
        <v>3559</v>
      </c>
      <c r="B41" s="2355" t="s">
        <v>2961</v>
      </c>
      <c r="C41" s="2783" t="s">
        <v>1208</v>
      </c>
      <c r="D41" s="1360" t="s">
        <v>471</v>
      </c>
      <c r="E41" s="1099"/>
      <c r="F41" s="1099"/>
      <c r="G41" s="1099"/>
      <c r="H41" s="1053"/>
      <c r="I41" s="1054"/>
      <c r="J41" s="948">
        <f>SUM(J46,J50,J54)</f>
        <v>0</v>
      </c>
      <c r="K41" s="1053">
        <f t="shared" ref="K41:M41" si="16">SUM(K46,K50,K54)</f>
        <v>0</v>
      </c>
      <c r="L41" s="1053">
        <f t="shared" si="16"/>
        <v>0</v>
      </c>
      <c r="M41" s="1053">
        <f t="shared" si="16"/>
        <v>0</v>
      </c>
      <c r="N41" s="2998" t="s">
        <v>2369</v>
      </c>
      <c r="O41" s="2395" t="s">
        <v>3758</v>
      </c>
      <c r="P41" s="2344" t="s">
        <v>1543</v>
      </c>
      <c r="Q41" s="950" t="s">
        <v>3761</v>
      </c>
      <c r="R41" s="2992" t="s">
        <v>1409</v>
      </c>
      <c r="S41" s="947" t="s">
        <v>434</v>
      </c>
      <c r="T41" s="947" t="s">
        <v>3762</v>
      </c>
      <c r="U41" s="947" t="s">
        <v>434</v>
      </c>
      <c r="V41" s="3002" t="s">
        <v>2370</v>
      </c>
    </row>
    <row r="42" spans="1:22" ht="36.75" customHeight="1">
      <c r="A42" s="2746"/>
      <c r="B42" s="2355"/>
      <c r="C42" s="2783"/>
      <c r="D42" s="1360" t="s">
        <v>2928</v>
      </c>
      <c r="E42" s="1099"/>
      <c r="F42" s="1099"/>
      <c r="G42" s="1099"/>
      <c r="H42" s="1053"/>
      <c r="I42" s="1054"/>
      <c r="J42" s="948"/>
      <c r="K42" s="1053"/>
      <c r="L42" s="1053"/>
      <c r="M42" s="1053"/>
      <c r="N42" s="2999"/>
      <c r="O42" s="2395"/>
      <c r="P42" s="2344"/>
      <c r="Q42" s="950" t="s">
        <v>3760</v>
      </c>
      <c r="R42" s="2992"/>
      <c r="S42" s="947" t="s">
        <v>434</v>
      </c>
      <c r="T42" s="947" t="s">
        <v>3763</v>
      </c>
      <c r="U42" s="947" t="s">
        <v>434</v>
      </c>
      <c r="V42" s="3004"/>
    </row>
    <row r="43" spans="1:22" ht="47.25" customHeight="1">
      <c r="A43" s="2746"/>
      <c r="B43" s="2355"/>
      <c r="C43" s="2783"/>
      <c r="D43" s="1360" t="s">
        <v>246</v>
      </c>
      <c r="E43" s="1099">
        <v>0</v>
      </c>
      <c r="F43" s="1099"/>
      <c r="G43" s="1099">
        <v>400</v>
      </c>
      <c r="H43" s="1718">
        <v>400</v>
      </c>
      <c r="I43" s="1661">
        <f t="shared" si="13"/>
        <v>0.8501725</v>
      </c>
      <c r="J43" s="948">
        <f>SUM(J47,J51,J55)</f>
        <v>590.52500000000009</v>
      </c>
      <c r="K43" s="1053">
        <f t="shared" ref="K43:M43" si="17">SUM(K47,K51,K55)</f>
        <v>740.06899999999996</v>
      </c>
      <c r="L43" s="1053">
        <f t="shared" si="17"/>
        <v>0</v>
      </c>
      <c r="M43" s="1053">
        <f t="shared" si="17"/>
        <v>0</v>
      </c>
      <c r="N43" s="2999"/>
      <c r="O43" s="2395"/>
      <c r="P43" s="2344"/>
      <c r="Q43" s="950" t="s">
        <v>3765</v>
      </c>
      <c r="R43" s="2992"/>
      <c r="S43" s="947" t="s">
        <v>434</v>
      </c>
      <c r="T43" s="947" t="s">
        <v>3768</v>
      </c>
      <c r="U43" s="947" t="s">
        <v>434</v>
      </c>
      <c r="V43" s="3004"/>
    </row>
    <row r="44" spans="1:22" ht="32.25" customHeight="1">
      <c r="A44" s="2746"/>
      <c r="B44" s="2355"/>
      <c r="C44" s="2783"/>
      <c r="D44" s="1360" t="s">
        <v>413</v>
      </c>
      <c r="E44" s="1099"/>
      <c r="F44" s="1099"/>
      <c r="G44" s="1099"/>
      <c r="H44" s="1718"/>
      <c r="I44" s="1661"/>
      <c r="J44" s="948">
        <f>SUM(J48,J52,J56)</f>
        <v>104.21</v>
      </c>
      <c r="K44" s="1053">
        <f t="shared" ref="K44:M44" si="18">SUM(K48,K52,K56)</f>
        <v>130.6</v>
      </c>
      <c r="L44" s="1053">
        <f t="shared" si="18"/>
        <v>0</v>
      </c>
      <c r="M44" s="1053">
        <f t="shared" si="18"/>
        <v>0</v>
      </c>
      <c r="N44" s="2999"/>
      <c r="O44" s="2395"/>
      <c r="P44" s="2344"/>
      <c r="Q44" s="2343" t="s">
        <v>3766</v>
      </c>
      <c r="R44" s="2992"/>
      <c r="S44" s="2343" t="s">
        <v>434</v>
      </c>
      <c r="T44" s="2343" t="s">
        <v>3767</v>
      </c>
      <c r="U44" s="2343" t="s">
        <v>434</v>
      </c>
      <c r="V44" s="3004"/>
    </row>
    <row r="45" spans="1:22" ht="32.25" customHeight="1">
      <c r="A45" s="2727"/>
      <c r="B45" s="2465"/>
      <c r="C45" s="2466"/>
      <c r="D45" s="1056" t="s">
        <v>1076</v>
      </c>
      <c r="E45" s="1057">
        <f>SUM(E41:E41)</f>
        <v>0</v>
      </c>
      <c r="F45" s="1057">
        <f t="shared" ref="F45" si="19">SUM(F41:F41)</f>
        <v>0</v>
      </c>
      <c r="G45" s="1057">
        <f>SUM(G41:G43)</f>
        <v>400</v>
      </c>
      <c r="H45" s="1059">
        <f t="shared" ref="H45" si="20">SUM(H41:H43)</f>
        <v>400</v>
      </c>
      <c r="I45" s="1060">
        <f t="shared" si="13"/>
        <v>1.1766725</v>
      </c>
      <c r="J45" s="1704">
        <f>SUM(J41,J43,J44)</f>
        <v>694.73500000000013</v>
      </c>
      <c r="K45" s="1059">
        <f t="shared" ref="K45:M45" si="21">SUM(K41,K43,K44)</f>
        <v>870.66899999999998</v>
      </c>
      <c r="L45" s="1059">
        <f t="shared" si="21"/>
        <v>0</v>
      </c>
      <c r="M45" s="1059">
        <f t="shared" si="21"/>
        <v>0</v>
      </c>
      <c r="N45" s="3000"/>
      <c r="O45" s="2396"/>
      <c r="P45" s="2342"/>
      <c r="Q45" s="2344"/>
      <c r="R45" s="2993"/>
      <c r="S45" s="2344"/>
      <c r="T45" s="2344"/>
      <c r="U45" s="2344"/>
      <c r="V45" s="3003"/>
    </row>
    <row r="46" spans="1:22" ht="13.5" hidden="1" customHeight="1">
      <c r="A46" s="3048"/>
      <c r="B46" s="2744" t="s">
        <v>3468</v>
      </c>
      <c r="C46" s="2785"/>
      <c r="D46" s="1400" t="s">
        <v>471</v>
      </c>
      <c r="E46" s="1147"/>
      <c r="F46" s="1147"/>
      <c r="G46" s="1147"/>
      <c r="H46" s="1075"/>
      <c r="I46" s="1075"/>
      <c r="J46" s="1068"/>
      <c r="K46" s="989"/>
      <c r="L46" s="1075"/>
      <c r="M46" s="1075"/>
      <c r="N46" s="3017" t="s">
        <v>2369</v>
      </c>
      <c r="O46" s="3020"/>
      <c r="P46" s="2744"/>
      <c r="Q46" s="2744"/>
      <c r="R46" s="3092"/>
      <c r="S46" s="2784"/>
      <c r="T46" s="2784"/>
      <c r="U46" s="2784"/>
      <c r="V46" s="3006"/>
    </row>
    <row r="47" spans="1:22" ht="16.5" hidden="1" customHeight="1">
      <c r="A47" s="3048"/>
      <c r="B47" s="2744"/>
      <c r="C47" s="2785"/>
      <c r="D47" s="1400" t="s">
        <v>246</v>
      </c>
      <c r="E47" s="1147">
        <v>0</v>
      </c>
      <c r="F47" s="1147"/>
      <c r="G47" s="1147">
        <v>400</v>
      </c>
      <c r="H47" s="1075">
        <v>400</v>
      </c>
      <c r="I47" s="1075"/>
      <c r="J47" s="1068">
        <v>145.36600000000001</v>
      </c>
      <c r="K47" s="989">
        <v>181.708</v>
      </c>
      <c r="L47" s="1075"/>
      <c r="M47" s="1075"/>
      <c r="N47" s="3018"/>
      <c r="O47" s="3020"/>
      <c r="P47" s="2744"/>
      <c r="Q47" s="2744"/>
      <c r="R47" s="3092"/>
      <c r="S47" s="2784"/>
      <c r="T47" s="2784"/>
      <c r="U47" s="2784"/>
      <c r="V47" s="3007"/>
    </row>
    <row r="48" spans="1:22" ht="18.75" hidden="1" customHeight="1">
      <c r="A48" s="3048"/>
      <c r="B48" s="2744"/>
      <c r="C48" s="2785"/>
      <c r="D48" s="1400" t="s">
        <v>413</v>
      </c>
      <c r="E48" s="1147"/>
      <c r="F48" s="1147"/>
      <c r="G48" s="1147"/>
      <c r="H48" s="1075"/>
      <c r="I48" s="1075"/>
      <c r="J48" s="1068">
        <v>25.652999999999999</v>
      </c>
      <c r="K48" s="989">
        <v>32.066000000000003</v>
      </c>
      <c r="L48" s="1075"/>
      <c r="M48" s="1075"/>
      <c r="N48" s="3018"/>
      <c r="O48" s="3020"/>
      <c r="P48" s="2744"/>
      <c r="Q48" s="2744"/>
      <c r="R48" s="3092"/>
      <c r="S48" s="2784"/>
      <c r="T48" s="2784"/>
      <c r="U48" s="2784"/>
      <c r="V48" s="3007"/>
    </row>
    <row r="49" spans="1:23" ht="17.25" hidden="1" customHeight="1">
      <c r="A49" s="3049"/>
      <c r="B49" s="2784"/>
      <c r="C49" s="2786"/>
      <c r="D49" s="1022" t="s">
        <v>1076</v>
      </c>
      <c r="E49" s="1120">
        <f>SUM(E46:E46)</f>
        <v>0</v>
      </c>
      <c r="F49" s="1120">
        <f t="shared" ref="F49" si="22">SUM(F46:F46)</f>
        <v>0</v>
      </c>
      <c r="G49" s="1120">
        <f>SUM(G46:G47)</f>
        <v>400</v>
      </c>
      <c r="H49" s="1075">
        <f t="shared" ref="H49:M49" si="23">SUM(H46:H47)</f>
        <v>400</v>
      </c>
      <c r="I49" s="1075">
        <f t="shared" si="23"/>
        <v>0</v>
      </c>
      <c r="J49" s="1068">
        <f t="shared" si="23"/>
        <v>145.36600000000001</v>
      </c>
      <c r="K49" s="989">
        <f>SUM(K46:K48)</f>
        <v>213.774</v>
      </c>
      <c r="L49" s="1075">
        <f t="shared" si="23"/>
        <v>0</v>
      </c>
      <c r="M49" s="1075">
        <f t="shared" si="23"/>
        <v>0</v>
      </c>
      <c r="N49" s="3019"/>
      <c r="O49" s="3021"/>
      <c r="P49" s="2784"/>
      <c r="Q49" s="2784"/>
      <c r="R49" s="3093"/>
      <c r="S49" s="2784"/>
      <c r="T49" s="2784"/>
      <c r="U49" s="2784"/>
      <c r="V49" s="3008"/>
    </row>
    <row r="50" spans="1:23" ht="14.25" hidden="1" customHeight="1">
      <c r="A50" s="3032"/>
      <c r="B50" s="3036" t="s">
        <v>3469</v>
      </c>
      <c r="C50" s="3037"/>
      <c r="D50" s="1721" t="s">
        <v>471</v>
      </c>
      <c r="E50" s="1722"/>
      <c r="F50" s="1722"/>
      <c r="G50" s="1722"/>
      <c r="H50" s="1723"/>
      <c r="I50" s="1723"/>
      <c r="J50" s="1724"/>
      <c r="K50" s="1725"/>
      <c r="L50" s="1723"/>
      <c r="M50" s="1723"/>
      <c r="N50" s="3039" t="s">
        <v>2369</v>
      </c>
      <c r="O50" s="3042"/>
      <c r="P50" s="3036"/>
      <c r="Q50" s="3036"/>
      <c r="R50" s="3080"/>
      <c r="S50" s="3009"/>
      <c r="T50" s="3009"/>
      <c r="U50" s="3009"/>
      <c r="V50" s="3010"/>
    </row>
    <row r="51" spans="1:23" ht="15" hidden="1" customHeight="1">
      <c r="A51" s="3032"/>
      <c r="B51" s="3036"/>
      <c r="C51" s="3037"/>
      <c r="D51" s="1721" t="s">
        <v>246</v>
      </c>
      <c r="E51" s="1722">
        <v>0</v>
      </c>
      <c r="F51" s="1722"/>
      <c r="G51" s="1722">
        <v>400</v>
      </c>
      <c r="H51" s="1723">
        <v>400</v>
      </c>
      <c r="I51" s="1723"/>
      <c r="J51" s="1724">
        <v>434.44900000000001</v>
      </c>
      <c r="K51" s="1725">
        <v>543.06100000000004</v>
      </c>
      <c r="L51" s="1723"/>
      <c r="M51" s="1723"/>
      <c r="N51" s="3040"/>
      <c r="O51" s="3042"/>
      <c r="P51" s="3036"/>
      <c r="Q51" s="3036"/>
      <c r="R51" s="3080"/>
      <c r="S51" s="3009"/>
      <c r="T51" s="3009"/>
      <c r="U51" s="3009"/>
      <c r="V51" s="3011"/>
    </row>
    <row r="52" spans="1:23" ht="15.75" hidden="1" customHeight="1">
      <c r="A52" s="3032"/>
      <c r="B52" s="3036"/>
      <c r="C52" s="3037"/>
      <c r="D52" s="1721" t="s">
        <v>413</v>
      </c>
      <c r="E52" s="1722"/>
      <c r="F52" s="1722"/>
      <c r="G52" s="1722"/>
      <c r="H52" s="1723"/>
      <c r="I52" s="1723"/>
      <c r="J52" s="1724">
        <v>76.667000000000002</v>
      </c>
      <c r="K52" s="1725">
        <v>95.834000000000003</v>
      </c>
      <c r="L52" s="1723"/>
      <c r="M52" s="1723"/>
      <c r="N52" s="3040"/>
      <c r="O52" s="3042"/>
      <c r="P52" s="3036"/>
      <c r="Q52" s="3036"/>
      <c r="R52" s="3080"/>
      <c r="S52" s="3009"/>
      <c r="T52" s="3009"/>
      <c r="U52" s="3009"/>
      <c r="V52" s="3011"/>
    </row>
    <row r="53" spans="1:23" ht="18" hidden="1" customHeight="1">
      <c r="A53" s="3033"/>
      <c r="B53" s="3009"/>
      <c r="C53" s="3038"/>
      <c r="D53" s="1727" t="s">
        <v>1076</v>
      </c>
      <c r="E53" s="1728">
        <f>SUM(E50:E50)</f>
        <v>0</v>
      </c>
      <c r="F53" s="1728">
        <f t="shared" ref="F53" si="24">SUM(F50:F50)</f>
        <v>0</v>
      </c>
      <c r="G53" s="1728">
        <f>SUM(G50:G51)</f>
        <v>400</v>
      </c>
      <c r="H53" s="1723">
        <f t="shared" ref="H53:M53" si="25">SUM(H50:H51)</f>
        <v>400</v>
      </c>
      <c r="I53" s="1723">
        <f t="shared" si="25"/>
        <v>0</v>
      </c>
      <c r="J53" s="1724">
        <f t="shared" si="25"/>
        <v>434.44900000000001</v>
      </c>
      <c r="K53" s="1725">
        <f>SUM(K50:K52)</f>
        <v>638.89499999999998</v>
      </c>
      <c r="L53" s="1723">
        <f t="shared" si="25"/>
        <v>0</v>
      </c>
      <c r="M53" s="1723">
        <f t="shared" si="25"/>
        <v>0</v>
      </c>
      <c r="N53" s="3041"/>
      <c r="O53" s="3043"/>
      <c r="P53" s="3009"/>
      <c r="Q53" s="3009"/>
      <c r="R53" s="3081"/>
      <c r="S53" s="3009"/>
      <c r="T53" s="3009"/>
      <c r="U53" s="3009"/>
      <c r="V53" s="3012"/>
    </row>
    <row r="54" spans="1:23" ht="12.75" hidden="1" customHeight="1">
      <c r="A54" s="3034"/>
      <c r="B54" s="3082" t="s">
        <v>2703</v>
      </c>
      <c r="C54" s="3083"/>
      <c r="D54" s="1729" t="s">
        <v>471</v>
      </c>
      <c r="E54" s="1730"/>
      <c r="F54" s="1730"/>
      <c r="G54" s="1730"/>
      <c r="H54" s="1731"/>
      <c r="I54" s="1731"/>
      <c r="J54" s="1732"/>
      <c r="K54" s="1733"/>
      <c r="L54" s="1731"/>
      <c r="M54" s="1731"/>
      <c r="N54" s="3085" t="s">
        <v>2369</v>
      </c>
      <c r="O54" s="3088"/>
      <c r="P54" s="3082"/>
      <c r="Q54" s="3082"/>
      <c r="R54" s="3090"/>
      <c r="S54" s="3013"/>
      <c r="T54" s="3013"/>
      <c r="U54" s="3013"/>
      <c r="V54" s="3014"/>
    </row>
    <row r="55" spans="1:23" ht="15.75" hidden="1" customHeight="1">
      <c r="A55" s="3034"/>
      <c r="B55" s="3082"/>
      <c r="C55" s="3083"/>
      <c r="D55" s="1729" t="s">
        <v>246</v>
      </c>
      <c r="E55" s="1730">
        <v>0</v>
      </c>
      <c r="F55" s="1730"/>
      <c r="G55" s="1730">
        <v>400</v>
      </c>
      <c r="H55" s="1731">
        <v>400</v>
      </c>
      <c r="I55" s="1731"/>
      <c r="J55" s="1732">
        <v>10.71</v>
      </c>
      <c r="K55" s="1733">
        <v>15.3</v>
      </c>
      <c r="L55" s="1731"/>
      <c r="M55" s="1731"/>
      <c r="N55" s="3086"/>
      <c r="O55" s="3088"/>
      <c r="P55" s="3082"/>
      <c r="Q55" s="3082"/>
      <c r="R55" s="3090"/>
      <c r="S55" s="3013"/>
      <c r="T55" s="3013"/>
      <c r="U55" s="3013"/>
      <c r="V55" s="3015"/>
    </row>
    <row r="56" spans="1:23" ht="12.75" hidden="1" customHeight="1">
      <c r="A56" s="3034"/>
      <c r="B56" s="3082"/>
      <c r="C56" s="3083"/>
      <c r="D56" s="1729" t="s">
        <v>413</v>
      </c>
      <c r="E56" s="1730"/>
      <c r="F56" s="1730"/>
      <c r="G56" s="1730"/>
      <c r="H56" s="1731"/>
      <c r="I56" s="1731"/>
      <c r="J56" s="1732">
        <v>1.89</v>
      </c>
      <c r="K56" s="1733">
        <v>2.7</v>
      </c>
      <c r="L56" s="1731"/>
      <c r="M56" s="1731"/>
      <c r="N56" s="3086"/>
      <c r="O56" s="3088"/>
      <c r="P56" s="3082"/>
      <c r="Q56" s="3082"/>
      <c r="R56" s="3090"/>
      <c r="S56" s="3013"/>
      <c r="T56" s="3013"/>
      <c r="U56" s="3013"/>
      <c r="V56" s="3015"/>
    </row>
    <row r="57" spans="1:23" ht="17.25" hidden="1" customHeight="1">
      <c r="A57" s="3035"/>
      <c r="B57" s="3013"/>
      <c r="C57" s="3084"/>
      <c r="D57" s="1734" t="s">
        <v>1076</v>
      </c>
      <c r="E57" s="1735">
        <f>SUM(E54:E54)</f>
        <v>0</v>
      </c>
      <c r="F57" s="1735">
        <f t="shared" ref="F57" si="26">SUM(F54:F54)</f>
        <v>0</v>
      </c>
      <c r="G57" s="1735">
        <f>SUM(G54:G55)</f>
        <v>400</v>
      </c>
      <c r="H57" s="1731">
        <f t="shared" ref="H57:M57" si="27">SUM(H54:H55)</f>
        <v>400</v>
      </c>
      <c r="I57" s="1731">
        <f t="shared" si="27"/>
        <v>0</v>
      </c>
      <c r="J57" s="1732">
        <f t="shared" si="27"/>
        <v>10.71</v>
      </c>
      <c r="K57" s="1733">
        <f>SUM(K54:K56)</f>
        <v>18</v>
      </c>
      <c r="L57" s="1731">
        <f t="shared" si="27"/>
        <v>0</v>
      </c>
      <c r="M57" s="1731">
        <f t="shared" si="27"/>
        <v>0</v>
      </c>
      <c r="N57" s="3087"/>
      <c r="O57" s="3089"/>
      <c r="P57" s="3013"/>
      <c r="Q57" s="3013"/>
      <c r="R57" s="3091"/>
      <c r="S57" s="3013"/>
      <c r="T57" s="3013"/>
      <c r="U57" s="3013"/>
      <c r="V57" s="3016"/>
    </row>
    <row r="58" spans="1:23" ht="44.25" customHeight="1">
      <c r="A58" s="2746" t="s">
        <v>3560</v>
      </c>
      <c r="B58" s="2355" t="s">
        <v>3784</v>
      </c>
      <c r="C58" s="2783" t="s">
        <v>1208</v>
      </c>
      <c r="D58" s="1360" t="s">
        <v>471</v>
      </c>
      <c r="E58" s="1099"/>
      <c r="F58" s="1099"/>
      <c r="G58" s="1099"/>
      <c r="H58" s="1053"/>
      <c r="I58" s="1054"/>
      <c r="J58" s="948">
        <f>SUM(J62,J66,J70,)</f>
        <v>8.85</v>
      </c>
      <c r="K58" s="1053">
        <v>0</v>
      </c>
      <c r="L58" s="1053">
        <f t="shared" ref="L58" si="28">SUM(L62,L66,L70,)</f>
        <v>8.85</v>
      </c>
      <c r="M58" s="1053">
        <v>0.3</v>
      </c>
      <c r="N58" s="2998" t="s">
        <v>2365</v>
      </c>
      <c r="O58" s="2395" t="s">
        <v>3772</v>
      </c>
      <c r="P58" s="2344" t="s">
        <v>1544</v>
      </c>
      <c r="Q58" s="950" t="s">
        <v>3769</v>
      </c>
      <c r="R58" s="2992" t="s">
        <v>434</v>
      </c>
      <c r="S58" s="947" t="s">
        <v>434</v>
      </c>
      <c r="T58" s="947" t="s">
        <v>434</v>
      </c>
      <c r="U58" s="947" t="s">
        <v>1464</v>
      </c>
      <c r="V58" s="3002" t="s">
        <v>2366</v>
      </c>
      <c r="W58" s="402" t="s">
        <v>2760</v>
      </c>
    </row>
    <row r="59" spans="1:23" ht="40.5" customHeight="1">
      <c r="A59" s="2746"/>
      <c r="B59" s="2355"/>
      <c r="C59" s="2783"/>
      <c r="D59" s="1360" t="s">
        <v>2928</v>
      </c>
      <c r="E59" s="1099"/>
      <c r="F59" s="1099"/>
      <c r="G59" s="1099"/>
      <c r="H59" s="1053"/>
      <c r="I59" s="1054"/>
      <c r="J59" s="948"/>
      <c r="K59" s="1053">
        <v>8.85</v>
      </c>
      <c r="L59" s="1053"/>
      <c r="M59" s="1053"/>
      <c r="N59" s="2999"/>
      <c r="O59" s="2395"/>
      <c r="P59" s="2344"/>
      <c r="Q59" s="950" t="s">
        <v>3770</v>
      </c>
      <c r="R59" s="2992"/>
      <c r="S59" s="947" t="s">
        <v>434</v>
      </c>
      <c r="T59" s="947" t="s">
        <v>434</v>
      </c>
      <c r="U59" s="947" t="s">
        <v>1464</v>
      </c>
      <c r="V59" s="3004"/>
      <c r="W59" s="402"/>
    </row>
    <row r="60" spans="1:23" ht="41.45" customHeight="1">
      <c r="A60" s="2727"/>
      <c r="B60" s="2465"/>
      <c r="C60" s="2466"/>
      <c r="D60" s="1050" t="s">
        <v>246</v>
      </c>
      <c r="E60" s="1051"/>
      <c r="F60" s="1051"/>
      <c r="G60" s="1051"/>
      <c r="H60" s="1053"/>
      <c r="I60" s="1054"/>
      <c r="J60" s="948">
        <f>SUM(J63,J67,J71,)</f>
        <v>50.150000000000006</v>
      </c>
      <c r="K60" s="1053">
        <f t="shared" ref="K60" si="29">SUM(K63,K67,K71,)</f>
        <v>50.150000000000006</v>
      </c>
      <c r="L60" s="1053">
        <f>SUM(L63,L67,L71,)</f>
        <v>50.150000000000006</v>
      </c>
      <c r="M60" s="1053">
        <v>1.7</v>
      </c>
      <c r="N60" s="2999"/>
      <c r="O60" s="2396"/>
      <c r="P60" s="2342"/>
      <c r="Q60" s="2343" t="s">
        <v>3771</v>
      </c>
      <c r="R60" s="2993"/>
      <c r="S60" s="2343" t="s">
        <v>434</v>
      </c>
      <c r="T60" s="2343" t="s">
        <v>434</v>
      </c>
      <c r="U60" s="2343" t="s">
        <v>433</v>
      </c>
      <c r="V60" s="3004"/>
    </row>
    <row r="61" spans="1:23" ht="105" customHeight="1">
      <c r="A61" s="2727"/>
      <c r="B61" s="2465"/>
      <c r="C61" s="2466"/>
      <c r="D61" s="1056" t="s">
        <v>1076</v>
      </c>
      <c r="E61" s="1057">
        <f>SUM(E58:E60)</f>
        <v>0</v>
      </c>
      <c r="F61" s="1057">
        <f t="shared" ref="F61:M61" si="30">SUM(F58:F60)</f>
        <v>0</v>
      </c>
      <c r="G61" s="1057">
        <f t="shared" si="30"/>
        <v>0</v>
      </c>
      <c r="H61" s="1059">
        <f t="shared" si="30"/>
        <v>0</v>
      </c>
      <c r="I61" s="1060"/>
      <c r="J61" s="1736">
        <f t="shared" si="30"/>
        <v>59.000000000000007</v>
      </c>
      <c r="K61" s="1059">
        <f t="shared" si="30"/>
        <v>59.000000000000007</v>
      </c>
      <c r="L61" s="1059">
        <f t="shared" si="30"/>
        <v>59.000000000000007</v>
      </c>
      <c r="M61" s="1059">
        <f t="shared" si="30"/>
        <v>2</v>
      </c>
      <c r="N61" s="3000"/>
      <c r="O61" s="2396"/>
      <c r="P61" s="2342"/>
      <c r="Q61" s="2344"/>
      <c r="R61" s="2993"/>
      <c r="S61" s="2344"/>
      <c r="T61" s="2344"/>
      <c r="U61" s="2344"/>
      <c r="V61" s="3003"/>
    </row>
    <row r="62" spans="1:23" ht="18" hidden="1" customHeight="1">
      <c r="A62" s="3048"/>
      <c r="B62" s="2744" t="s">
        <v>3470</v>
      </c>
      <c r="C62" s="2785"/>
      <c r="D62" s="1400" t="s">
        <v>471</v>
      </c>
      <c r="E62" s="1147"/>
      <c r="F62" s="1147"/>
      <c r="G62" s="1147"/>
      <c r="H62" s="1075"/>
      <c r="I62" s="1075"/>
      <c r="J62" s="1068">
        <v>3.3220000000000001</v>
      </c>
      <c r="K62" s="989">
        <v>3.3220000000000001</v>
      </c>
      <c r="L62" s="1075">
        <v>3.3220000000000001</v>
      </c>
      <c r="M62" s="1075"/>
      <c r="N62" s="3017" t="s">
        <v>2369</v>
      </c>
      <c r="O62" s="3020"/>
      <c r="P62" s="2744"/>
      <c r="Q62" s="2744"/>
      <c r="R62" s="3092"/>
      <c r="S62" s="2784"/>
      <c r="T62" s="2784"/>
      <c r="U62" s="2743"/>
      <c r="V62" s="3006"/>
    </row>
    <row r="63" spans="1:23" ht="17.25" hidden="1" customHeight="1">
      <c r="A63" s="3048"/>
      <c r="B63" s="2744"/>
      <c r="C63" s="2785"/>
      <c r="D63" s="1400" t="s">
        <v>246</v>
      </c>
      <c r="E63" s="1147">
        <v>0</v>
      </c>
      <c r="F63" s="1147"/>
      <c r="G63" s="1147">
        <v>400</v>
      </c>
      <c r="H63" s="1075"/>
      <c r="I63" s="1075"/>
      <c r="J63" s="1068">
        <v>18.827000000000002</v>
      </c>
      <c r="K63" s="989">
        <v>18.827000000000002</v>
      </c>
      <c r="L63" s="1075">
        <v>18.827000000000002</v>
      </c>
      <c r="M63" s="1075"/>
      <c r="N63" s="3018"/>
      <c r="O63" s="3020"/>
      <c r="P63" s="2744"/>
      <c r="Q63" s="2744"/>
      <c r="R63" s="3092"/>
      <c r="S63" s="2784"/>
      <c r="T63" s="2784"/>
      <c r="U63" s="3128"/>
      <c r="V63" s="3007"/>
    </row>
    <row r="64" spans="1:23" ht="17.25" hidden="1" customHeight="1">
      <c r="A64" s="3048"/>
      <c r="B64" s="2744"/>
      <c r="C64" s="2785"/>
      <c r="D64" s="1400" t="s">
        <v>413</v>
      </c>
      <c r="E64" s="1147"/>
      <c r="F64" s="1147"/>
      <c r="G64" s="1147"/>
      <c r="H64" s="1075"/>
      <c r="I64" s="1075"/>
      <c r="J64" s="1068"/>
      <c r="K64" s="989"/>
      <c r="L64" s="1075"/>
      <c r="M64" s="1075"/>
      <c r="N64" s="3018"/>
      <c r="O64" s="3020"/>
      <c r="P64" s="2744"/>
      <c r="Q64" s="2744"/>
      <c r="R64" s="3092"/>
      <c r="S64" s="2784"/>
      <c r="T64" s="2784"/>
      <c r="U64" s="3128"/>
      <c r="V64" s="3007"/>
    </row>
    <row r="65" spans="1:23" ht="16.5" hidden="1" customHeight="1">
      <c r="A65" s="3049"/>
      <c r="B65" s="2784"/>
      <c r="C65" s="2786"/>
      <c r="D65" s="1022" t="s">
        <v>1076</v>
      </c>
      <c r="E65" s="1120">
        <f>SUM(E62:E62)</f>
        <v>0</v>
      </c>
      <c r="F65" s="1120">
        <f t="shared" ref="F65" si="31">SUM(F62:F62)</f>
        <v>0</v>
      </c>
      <c r="G65" s="1120">
        <f>SUM(G62:G63)</f>
        <v>400</v>
      </c>
      <c r="H65" s="1075"/>
      <c r="I65" s="1075"/>
      <c r="J65" s="1068">
        <f>SUM(J62,J63,J64)</f>
        <v>22.149000000000001</v>
      </c>
      <c r="K65" s="989">
        <f>SUM(K62,K63,K64)</f>
        <v>22.149000000000001</v>
      </c>
      <c r="L65" s="1075">
        <f t="shared" ref="L65:M65" si="32">SUM(L62,L63,L64)</f>
        <v>22.149000000000001</v>
      </c>
      <c r="M65" s="1075">
        <f t="shared" si="32"/>
        <v>0</v>
      </c>
      <c r="N65" s="3019"/>
      <c r="O65" s="3021"/>
      <c r="P65" s="2784"/>
      <c r="Q65" s="2784"/>
      <c r="R65" s="3093"/>
      <c r="S65" s="2784"/>
      <c r="T65" s="2784"/>
      <c r="U65" s="2744"/>
      <c r="V65" s="3008"/>
    </row>
    <row r="66" spans="1:23" ht="19.5" hidden="1" customHeight="1">
      <c r="A66" s="3032"/>
      <c r="B66" s="3036" t="s">
        <v>3471</v>
      </c>
      <c r="C66" s="3037"/>
      <c r="D66" s="1721" t="s">
        <v>471</v>
      </c>
      <c r="E66" s="1722"/>
      <c r="F66" s="1722"/>
      <c r="G66" s="1722"/>
      <c r="H66" s="1723"/>
      <c r="I66" s="1723"/>
      <c r="J66" s="1724">
        <v>5.5279999999999996</v>
      </c>
      <c r="K66" s="1725">
        <v>5.5279999999999996</v>
      </c>
      <c r="L66" s="1728">
        <v>5.5279999999999996</v>
      </c>
      <c r="M66" s="1723"/>
      <c r="N66" s="3039" t="s">
        <v>2369</v>
      </c>
      <c r="O66" s="3042"/>
      <c r="P66" s="3036"/>
      <c r="Q66" s="3036"/>
      <c r="R66" s="3080"/>
      <c r="S66" s="3009"/>
      <c r="T66" s="3009"/>
      <c r="U66" s="3129"/>
      <c r="V66" s="3010"/>
    </row>
    <row r="67" spans="1:23" ht="17.25" hidden="1" customHeight="1">
      <c r="A67" s="3032"/>
      <c r="B67" s="3036"/>
      <c r="C67" s="3037"/>
      <c r="D67" s="1721" t="s">
        <v>246</v>
      </c>
      <c r="E67" s="1722">
        <v>0</v>
      </c>
      <c r="F67" s="1722"/>
      <c r="G67" s="1722">
        <v>400</v>
      </c>
      <c r="H67" s="1723"/>
      <c r="I67" s="1723"/>
      <c r="J67" s="1724">
        <v>31.323</v>
      </c>
      <c r="K67" s="1725">
        <v>31.323</v>
      </c>
      <c r="L67" s="1728">
        <v>31.323</v>
      </c>
      <c r="M67" s="1723"/>
      <c r="N67" s="3040"/>
      <c r="O67" s="3042"/>
      <c r="P67" s="3036"/>
      <c r="Q67" s="3036"/>
      <c r="R67" s="3080"/>
      <c r="S67" s="3009"/>
      <c r="T67" s="3009"/>
      <c r="U67" s="3130"/>
      <c r="V67" s="3011"/>
    </row>
    <row r="68" spans="1:23" ht="15" hidden="1" customHeight="1">
      <c r="A68" s="3032"/>
      <c r="B68" s="3036"/>
      <c r="C68" s="3037"/>
      <c r="D68" s="1721" t="s">
        <v>413</v>
      </c>
      <c r="E68" s="1722"/>
      <c r="F68" s="1722"/>
      <c r="G68" s="1722"/>
      <c r="H68" s="1723"/>
      <c r="I68" s="1723"/>
      <c r="J68" s="1724"/>
      <c r="K68" s="1725"/>
      <c r="L68" s="1723"/>
      <c r="M68" s="1723"/>
      <c r="N68" s="3040"/>
      <c r="O68" s="3042"/>
      <c r="P68" s="3036"/>
      <c r="Q68" s="3036"/>
      <c r="R68" s="3080"/>
      <c r="S68" s="3009"/>
      <c r="T68" s="3009"/>
      <c r="U68" s="3130"/>
      <c r="V68" s="3011"/>
    </row>
    <row r="69" spans="1:23" ht="20.25" hidden="1" customHeight="1">
      <c r="A69" s="3033"/>
      <c r="B69" s="3009"/>
      <c r="C69" s="3038"/>
      <c r="D69" s="1727" t="s">
        <v>1076</v>
      </c>
      <c r="E69" s="1728">
        <f>SUM(E66:E66)</f>
        <v>0</v>
      </c>
      <c r="F69" s="1728">
        <f t="shared" ref="F69" si="33">SUM(F66:F66)</f>
        <v>0</v>
      </c>
      <c r="G69" s="1728">
        <f>SUM(G66:G67)</f>
        <v>400</v>
      </c>
      <c r="H69" s="1723"/>
      <c r="I69" s="1723"/>
      <c r="J69" s="1724">
        <f>SUM(J66,J67,J68)</f>
        <v>36.850999999999999</v>
      </c>
      <c r="K69" s="1725">
        <f>SUM(K66,K67,K68)</f>
        <v>36.850999999999999</v>
      </c>
      <c r="L69" s="1723">
        <f t="shared" ref="L69" si="34">SUM(L66,L67,L68)</f>
        <v>36.850999999999999</v>
      </c>
      <c r="M69" s="1723">
        <f t="shared" ref="M69" si="35">SUM(M66,M67,M68)</f>
        <v>0</v>
      </c>
      <c r="N69" s="3041"/>
      <c r="O69" s="3043"/>
      <c r="P69" s="3009"/>
      <c r="Q69" s="3009"/>
      <c r="R69" s="3081"/>
      <c r="S69" s="3009"/>
      <c r="T69" s="3009"/>
      <c r="U69" s="3036"/>
      <c r="V69" s="3012"/>
    </row>
    <row r="70" spans="1:23" ht="17.25" hidden="1" customHeight="1">
      <c r="A70" s="3034"/>
      <c r="B70" s="3082" t="s">
        <v>2703</v>
      </c>
      <c r="C70" s="3083"/>
      <c r="D70" s="1729" t="s">
        <v>471</v>
      </c>
      <c r="E70" s="1730"/>
      <c r="F70" s="1730"/>
      <c r="G70" s="1730"/>
      <c r="H70" s="1731"/>
      <c r="I70" s="1731"/>
      <c r="J70" s="1732"/>
      <c r="K70" s="1733"/>
      <c r="L70" s="1731"/>
      <c r="M70" s="1731"/>
      <c r="N70" s="3085" t="s">
        <v>2369</v>
      </c>
      <c r="O70" s="3088"/>
      <c r="P70" s="3082"/>
      <c r="Q70" s="3082"/>
      <c r="R70" s="3090"/>
      <c r="S70" s="3013"/>
      <c r="T70" s="3013"/>
      <c r="U70" s="3131"/>
      <c r="V70" s="3014"/>
    </row>
    <row r="71" spans="1:23" ht="18.75" hidden="1" customHeight="1">
      <c r="A71" s="3034"/>
      <c r="B71" s="3082"/>
      <c r="C71" s="3083"/>
      <c r="D71" s="1729" t="s">
        <v>246</v>
      </c>
      <c r="E71" s="1730">
        <v>0</v>
      </c>
      <c r="F71" s="1730"/>
      <c r="G71" s="1730">
        <v>400</v>
      </c>
      <c r="H71" s="1731"/>
      <c r="I71" s="1731"/>
      <c r="J71" s="1732"/>
      <c r="K71" s="1733"/>
      <c r="L71" s="1731"/>
      <c r="M71" s="1731"/>
      <c r="N71" s="3086"/>
      <c r="O71" s="3088"/>
      <c r="P71" s="3082"/>
      <c r="Q71" s="3082"/>
      <c r="R71" s="3090"/>
      <c r="S71" s="3013"/>
      <c r="T71" s="3013"/>
      <c r="U71" s="3132"/>
      <c r="V71" s="3015"/>
    </row>
    <row r="72" spans="1:23" ht="17.25" hidden="1" customHeight="1">
      <c r="A72" s="3034"/>
      <c r="B72" s="3082"/>
      <c r="C72" s="3083"/>
      <c r="D72" s="1729" t="s">
        <v>413</v>
      </c>
      <c r="E72" s="1730"/>
      <c r="F72" s="1730"/>
      <c r="G72" s="1730"/>
      <c r="H72" s="1731"/>
      <c r="I72" s="1731"/>
      <c r="J72" s="1732"/>
      <c r="K72" s="1733"/>
      <c r="L72" s="1731"/>
      <c r="M72" s="1731"/>
      <c r="N72" s="3086"/>
      <c r="O72" s="3088"/>
      <c r="P72" s="3082"/>
      <c r="Q72" s="3082"/>
      <c r="R72" s="3090"/>
      <c r="S72" s="3013"/>
      <c r="T72" s="3013"/>
      <c r="U72" s="3132"/>
      <c r="V72" s="3015"/>
    </row>
    <row r="73" spans="1:23" ht="15.75" hidden="1" customHeight="1">
      <c r="A73" s="3035"/>
      <c r="B73" s="3013"/>
      <c r="C73" s="3084"/>
      <c r="D73" s="1734" t="s">
        <v>1076</v>
      </c>
      <c r="E73" s="1735">
        <f>SUM(E70:E70)</f>
        <v>0</v>
      </c>
      <c r="F73" s="1735">
        <f t="shared" ref="F73" si="36">SUM(F70:F70)</f>
        <v>0</v>
      </c>
      <c r="G73" s="1735">
        <f>SUM(G70:G71)</f>
        <v>400</v>
      </c>
      <c r="H73" s="1731"/>
      <c r="I73" s="1731"/>
      <c r="J73" s="1732">
        <f>SUM(J70,J71,J72)</f>
        <v>0</v>
      </c>
      <c r="K73" s="1733">
        <f>SUM(K70,K71,K72)</f>
        <v>0</v>
      </c>
      <c r="L73" s="1731">
        <f t="shared" ref="L73" si="37">SUM(L70,L71,L72)</f>
        <v>0</v>
      </c>
      <c r="M73" s="1731">
        <f t="shared" ref="M73" si="38">SUM(M70,M71,M72)</f>
        <v>0</v>
      </c>
      <c r="N73" s="3087"/>
      <c r="O73" s="3089"/>
      <c r="P73" s="3013"/>
      <c r="Q73" s="3013"/>
      <c r="R73" s="3091"/>
      <c r="S73" s="3013"/>
      <c r="T73" s="3013"/>
      <c r="U73" s="3082"/>
      <c r="V73" s="3016"/>
    </row>
    <row r="74" spans="1:23" ht="41.25" customHeight="1">
      <c r="A74" s="2746" t="s">
        <v>3561</v>
      </c>
      <c r="B74" s="2355" t="s">
        <v>2962</v>
      </c>
      <c r="C74" s="2783" t="s">
        <v>1208</v>
      </c>
      <c r="D74" s="1360" t="s">
        <v>471</v>
      </c>
      <c r="E74" s="1099"/>
      <c r="F74" s="1099"/>
      <c r="G74" s="1099"/>
      <c r="H74" s="1737"/>
      <c r="I74" s="1737"/>
      <c r="J74" s="948"/>
      <c r="K74" s="1718"/>
      <c r="L74" s="1718"/>
      <c r="M74" s="1718"/>
      <c r="N74" s="2998" t="s">
        <v>2372</v>
      </c>
      <c r="O74" s="2395" t="s">
        <v>3779</v>
      </c>
      <c r="P74" s="2344" t="s">
        <v>1543</v>
      </c>
      <c r="Q74" s="950" t="s">
        <v>3759</v>
      </c>
      <c r="R74" s="2992" t="s">
        <v>434</v>
      </c>
      <c r="S74" s="947" t="s">
        <v>434</v>
      </c>
      <c r="T74" s="947" t="s">
        <v>1405</v>
      </c>
      <c r="U74" s="947"/>
      <c r="V74" s="3002" t="s">
        <v>2373</v>
      </c>
      <c r="W74" s="402" t="s">
        <v>2760</v>
      </c>
    </row>
    <row r="75" spans="1:23" ht="45" customHeight="1">
      <c r="A75" s="2745"/>
      <c r="B75" s="2617"/>
      <c r="C75" s="2783"/>
      <c r="D75" s="1360" t="s">
        <v>2928</v>
      </c>
      <c r="E75" s="1099"/>
      <c r="F75" s="1099"/>
      <c r="G75" s="1099"/>
      <c r="H75" s="1737"/>
      <c r="I75" s="1737"/>
      <c r="J75" s="948"/>
      <c r="K75" s="1718"/>
      <c r="L75" s="1718"/>
      <c r="M75" s="1718"/>
      <c r="N75" s="2999"/>
      <c r="O75" s="2395"/>
      <c r="P75" s="2344"/>
      <c r="Q75" s="950" t="s">
        <v>3764</v>
      </c>
      <c r="R75" s="2992"/>
      <c r="S75" s="947"/>
      <c r="T75" s="947" t="s">
        <v>3773</v>
      </c>
      <c r="U75" s="947"/>
      <c r="V75" s="3004"/>
      <c r="W75" s="402"/>
    </row>
    <row r="76" spans="1:23" ht="37.15" customHeight="1">
      <c r="A76" s="2745"/>
      <c r="B76" s="2617"/>
      <c r="C76" s="2783"/>
      <c r="D76" s="2730" t="s">
        <v>246</v>
      </c>
      <c r="E76" s="1099"/>
      <c r="F76" s="1099"/>
      <c r="G76" s="1099"/>
      <c r="H76" s="3154"/>
      <c r="I76" s="3154"/>
      <c r="J76" s="3157">
        <f>SUM(J81,J85)</f>
        <v>297.99400000000003</v>
      </c>
      <c r="K76" s="2694">
        <f t="shared" ref="K76:M76" si="39">SUM(K81,K85)</f>
        <v>297.99400000000003</v>
      </c>
      <c r="L76" s="2694">
        <f t="shared" si="39"/>
        <v>127.712</v>
      </c>
      <c r="M76" s="2694">
        <f t="shared" si="39"/>
        <v>0</v>
      </c>
      <c r="N76" s="2999"/>
      <c r="O76" s="2395"/>
      <c r="P76" s="2344"/>
      <c r="Q76" s="950" t="s">
        <v>3774</v>
      </c>
      <c r="R76" s="2992"/>
      <c r="S76" s="947"/>
      <c r="T76" s="947" t="s">
        <v>404</v>
      </c>
      <c r="U76" s="947"/>
      <c r="V76" s="3004"/>
    </row>
    <row r="77" spans="1:23" ht="37.15" customHeight="1">
      <c r="A77" s="2745"/>
      <c r="B77" s="2617"/>
      <c r="C77" s="2755"/>
      <c r="D77" s="2731"/>
      <c r="E77" s="1738"/>
      <c r="F77" s="1738"/>
      <c r="G77" s="1738"/>
      <c r="H77" s="3155"/>
      <c r="I77" s="3155"/>
      <c r="J77" s="3158"/>
      <c r="K77" s="2695"/>
      <c r="L77" s="2695"/>
      <c r="M77" s="2695"/>
      <c r="N77" s="2999"/>
      <c r="O77" s="2395"/>
      <c r="P77" s="2344"/>
      <c r="Q77" s="950" t="s">
        <v>3775</v>
      </c>
      <c r="R77" s="2992"/>
      <c r="S77" s="947"/>
      <c r="T77" s="947" t="s">
        <v>1464</v>
      </c>
      <c r="U77" s="947"/>
      <c r="V77" s="3004"/>
    </row>
    <row r="78" spans="1:23" ht="54" customHeight="1">
      <c r="A78" s="2745"/>
      <c r="B78" s="2617"/>
      <c r="C78" s="2755"/>
      <c r="D78" s="2732"/>
      <c r="E78" s="1738"/>
      <c r="F78" s="1738"/>
      <c r="G78" s="1738"/>
      <c r="H78" s="3156"/>
      <c r="I78" s="3156"/>
      <c r="J78" s="2930"/>
      <c r="K78" s="2696"/>
      <c r="L78" s="2696"/>
      <c r="M78" s="2696"/>
      <c r="N78" s="2999"/>
      <c r="O78" s="2395"/>
      <c r="P78" s="2344"/>
      <c r="Q78" s="950" t="s">
        <v>3776</v>
      </c>
      <c r="R78" s="2992"/>
      <c r="S78" s="947"/>
      <c r="T78" s="947" t="s">
        <v>324</v>
      </c>
      <c r="U78" s="947"/>
      <c r="V78" s="3004"/>
    </row>
    <row r="79" spans="1:23" ht="55.5" customHeight="1">
      <c r="A79" s="2807"/>
      <c r="B79" s="2354"/>
      <c r="C79" s="2754"/>
      <c r="D79" s="1152" t="s">
        <v>1076</v>
      </c>
      <c r="E79" s="1089">
        <f>SUM(E74:E76)</f>
        <v>0</v>
      </c>
      <c r="F79" s="1089">
        <f t="shared" ref="F79:G79" si="40">SUM(F74:F76)</f>
        <v>0</v>
      </c>
      <c r="G79" s="1089">
        <f t="shared" si="40"/>
        <v>0</v>
      </c>
      <c r="H79" s="1089">
        <f>SUM(H74:H76)</f>
        <v>0</v>
      </c>
      <c r="I79" s="1059">
        <f t="shared" ref="I79:M79" si="41">SUM(I74:I76)</f>
        <v>0</v>
      </c>
      <c r="J79" s="1704">
        <f>SUM(J74:J76)</f>
        <v>297.99400000000003</v>
      </c>
      <c r="K79" s="1059">
        <f t="shared" si="41"/>
        <v>297.99400000000003</v>
      </c>
      <c r="L79" s="1059">
        <f t="shared" si="41"/>
        <v>127.712</v>
      </c>
      <c r="M79" s="1059">
        <f t="shared" si="41"/>
        <v>0</v>
      </c>
      <c r="N79" s="3000"/>
      <c r="O79" s="2396"/>
      <c r="P79" s="2342"/>
      <c r="Q79" s="947" t="s">
        <v>3777</v>
      </c>
      <c r="R79" s="2993"/>
      <c r="S79" s="947"/>
      <c r="T79" s="947" t="s">
        <v>1464</v>
      </c>
      <c r="U79" s="947"/>
      <c r="V79" s="3003"/>
    </row>
    <row r="80" spans="1:23" ht="15.75" hidden="1" customHeight="1">
      <c r="A80" s="3050"/>
      <c r="B80" s="2784" t="s">
        <v>3468</v>
      </c>
      <c r="C80" s="2786"/>
      <c r="D80" s="1417" t="s">
        <v>471</v>
      </c>
      <c r="E80" s="1120"/>
      <c r="F80" s="1120"/>
      <c r="G80" s="1120"/>
      <c r="H80" s="1075"/>
      <c r="I80" s="1075"/>
      <c r="J80" s="1068"/>
      <c r="K80" s="989"/>
      <c r="L80" s="1075"/>
      <c r="M80" s="1075"/>
      <c r="N80" s="3017"/>
      <c r="O80" s="3020"/>
      <c r="P80" s="2744"/>
      <c r="Q80" s="2744"/>
      <c r="R80" s="3092"/>
      <c r="S80" s="2784"/>
      <c r="T80" s="2784"/>
      <c r="U80" s="2743"/>
      <c r="V80" s="3006"/>
    </row>
    <row r="81" spans="1:25" ht="20.25" hidden="1" customHeight="1">
      <c r="A81" s="3050"/>
      <c r="B81" s="2784"/>
      <c r="C81" s="2786"/>
      <c r="D81" s="1417" t="s">
        <v>246</v>
      </c>
      <c r="E81" s="1120">
        <v>0</v>
      </c>
      <c r="F81" s="1120"/>
      <c r="G81" s="1120">
        <v>400</v>
      </c>
      <c r="H81" s="1075"/>
      <c r="I81" s="1075"/>
      <c r="J81" s="1068">
        <v>59.994</v>
      </c>
      <c r="K81" s="989">
        <v>59.994</v>
      </c>
      <c r="L81" s="989">
        <v>25.712</v>
      </c>
      <c r="M81" s="989"/>
      <c r="N81" s="3018"/>
      <c r="O81" s="3020"/>
      <c r="P81" s="2744"/>
      <c r="Q81" s="2744"/>
      <c r="R81" s="3092"/>
      <c r="S81" s="2784"/>
      <c r="T81" s="2784"/>
      <c r="U81" s="3128"/>
      <c r="V81" s="3007"/>
    </row>
    <row r="82" spans="1:25" ht="15" hidden="1" customHeight="1">
      <c r="A82" s="3050"/>
      <c r="B82" s="2784"/>
      <c r="C82" s="2786"/>
      <c r="D82" s="1417" t="s">
        <v>413</v>
      </c>
      <c r="E82" s="1120"/>
      <c r="F82" s="1120"/>
      <c r="G82" s="1120"/>
      <c r="H82" s="1075"/>
      <c r="I82" s="1075"/>
      <c r="J82" s="1068"/>
      <c r="K82" s="989"/>
      <c r="L82" s="989"/>
      <c r="M82" s="989"/>
      <c r="N82" s="3018"/>
      <c r="O82" s="3020"/>
      <c r="P82" s="2744"/>
      <c r="Q82" s="2744"/>
      <c r="R82" s="3092"/>
      <c r="S82" s="2784"/>
      <c r="T82" s="2784"/>
      <c r="U82" s="3128"/>
      <c r="V82" s="3007"/>
    </row>
    <row r="83" spans="1:25" ht="20.25" hidden="1" customHeight="1">
      <c r="A83" s="3050"/>
      <c r="B83" s="2784"/>
      <c r="C83" s="2786"/>
      <c r="D83" s="1022" t="s">
        <v>1076</v>
      </c>
      <c r="E83" s="1120">
        <f>SUM(E80:E80)</f>
        <v>0</v>
      </c>
      <c r="F83" s="1120">
        <f t="shared" ref="F83" si="42">SUM(F80:F80)</f>
        <v>0</v>
      </c>
      <c r="G83" s="1120">
        <f>SUM(G80:G81)</f>
        <v>400</v>
      </c>
      <c r="H83" s="1075"/>
      <c r="I83" s="1075"/>
      <c r="J83" s="1068">
        <f>SUM(J80,J81,J82)</f>
        <v>59.994</v>
      </c>
      <c r="K83" s="989">
        <f>SUM(K80,K81,K82)</f>
        <v>59.994</v>
      </c>
      <c r="L83" s="989">
        <f t="shared" ref="L83:M83" si="43">SUM(L80,L81,L82)</f>
        <v>25.712</v>
      </c>
      <c r="M83" s="989">
        <f t="shared" si="43"/>
        <v>0</v>
      </c>
      <c r="N83" s="3019"/>
      <c r="O83" s="3021"/>
      <c r="P83" s="2784"/>
      <c r="Q83" s="2784"/>
      <c r="R83" s="3093"/>
      <c r="S83" s="2784"/>
      <c r="T83" s="2784"/>
      <c r="U83" s="2744"/>
      <c r="V83" s="3008"/>
    </row>
    <row r="84" spans="1:25" ht="16.5" hidden="1" customHeight="1">
      <c r="A84" s="3032"/>
      <c r="B84" s="3036" t="s">
        <v>3469</v>
      </c>
      <c r="C84" s="3037"/>
      <c r="D84" s="1721" t="s">
        <v>471</v>
      </c>
      <c r="E84" s="1722"/>
      <c r="F84" s="1722"/>
      <c r="G84" s="1722"/>
      <c r="H84" s="1739"/>
      <c r="I84" s="1723"/>
      <c r="J84" s="1724"/>
      <c r="K84" s="1725"/>
      <c r="L84" s="1725"/>
      <c r="M84" s="1725"/>
      <c r="N84" s="3039"/>
      <c r="O84" s="3042"/>
      <c r="P84" s="3036"/>
      <c r="Q84" s="3036"/>
      <c r="R84" s="3080"/>
      <c r="S84" s="3009"/>
      <c r="T84" s="3009"/>
      <c r="U84" s="3129"/>
      <c r="V84" s="3010"/>
    </row>
    <row r="85" spans="1:25" ht="17.25" hidden="1" customHeight="1">
      <c r="A85" s="3032"/>
      <c r="B85" s="3036"/>
      <c r="C85" s="3037"/>
      <c r="D85" s="1721" t="s">
        <v>246</v>
      </c>
      <c r="E85" s="1722">
        <v>0</v>
      </c>
      <c r="F85" s="1722"/>
      <c r="G85" s="1722">
        <v>400</v>
      </c>
      <c r="H85" s="1723"/>
      <c r="I85" s="1723"/>
      <c r="J85" s="1724">
        <v>238</v>
      </c>
      <c r="K85" s="1725">
        <v>238</v>
      </c>
      <c r="L85" s="1725">
        <v>102</v>
      </c>
      <c r="M85" s="1725"/>
      <c r="N85" s="3040"/>
      <c r="O85" s="3042"/>
      <c r="P85" s="3036"/>
      <c r="Q85" s="3036"/>
      <c r="R85" s="3080"/>
      <c r="S85" s="3009"/>
      <c r="T85" s="3009"/>
      <c r="U85" s="3130"/>
      <c r="V85" s="3011"/>
    </row>
    <row r="86" spans="1:25" ht="17.25" hidden="1" customHeight="1">
      <c r="A86" s="3032"/>
      <c r="B86" s="3036"/>
      <c r="C86" s="3037"/>
      <c r="D86" s="1721" t="s">
        <v>413</v>
      </c>
      <c r="E86" s="1722"/>
      <c r="F86" s="1722"/>
      <c r="G86" s="1722"/>
      <c r="H86" s="1723"/>
      <c r="I86" s="1723"/>
      <c r="J86" s="1724"/>
      <c r="K86" s="1725"/>
      <c r="L86" s="1725"/>
      <c r="M86" s="1725"/>
      <c r="N86" s="3040"/>
      <c r="O86" s="3042"/>
      <c r="P86" s="3036"/>
      <c r="Q86" s="3036"/>
      <c r="R86" s="3080"/>
      <c r="S86" s="3009"/>
      <c r="T86" s="3009"/>
      <c r="U86" s="3130"/>
      <c r="V86" s="3011"/>
    </row>
    <row r="87" spans="1:25" ht="18.75" hidden="1" customHeight="1">
      <c r="A87" s="3033"/>
      <c r="B87" s="3009"/>
      <c r="C87" s="3038"/>
      <c r="D87" s="1727" t="s">
        <v>1076</v>
      </c>
      <c r="E87" s="1728">
        <f>SUM(E84:E84)</f>
        <v>0</v>
      </c>
      <c r="F87" s="1728">
        <f t="shared" ref="F87" si="44">SUM(F84:F84)</f>
        <v>0</v>
      </c>
      <c r="G87" s="1728">
        <f>SUM(G84:G85)</f>
        <v>400</v>
      </c>
      <c r="H87" s="1723"/>
      <c r="I87" s="1723"/>
      <c r="J87" s="1724">
        <f>SUM(J84,J85,J86)</f>
        <v>238</v>
      </c>
      <c r="K87" s="1725">
        <f>SUM(K84,K85,K86)</f>
        <v>238</v>
      </c>
      <c r="L87" s="1725">
        <f t="shared" ref="L87" si="45">SUM(L84,L85,L86)</f>
        <v>102</v>
      </c>
      <c r="M87" s="1725">
        <f t="shared" ref="M87" si="46">SUM(M84,M85,M86)</f>
        <v>0</v>
      </c>
      <c r="N87" s="3041"/>
      <c r="O87" s="3043"/>
      <c r="P87" s="3009"/>
      <c r="Q87" s="3009"/>
      <c r="R87" s="3081"/>
      <c r="S87" s="3009"/>
      <c r="T87" s="3009"/>
      <c r="U87" s="3036"/>
      <c r="V87" s="3012"/>
    </row>
    <row r="88" spans="1:25" ht="38.450000000000003" customHeight="1">
      <c r="A88" s="1366" t="s">
        <v>2161</v>
      </c>
      <c r="B88" s="970" t="s">
        <v>1261</v>
      </c>
      <c r="C88" s="1367"/>
      <c r="D88" s="1017"/>
      <c r="E88" s="1094">
        <f>SUM(E95,E115,E118,)</f>
        <v>14.951000000000001</v>
      </c>
      <c r="F88" s="1094">
        <f>SUM(F95,F115,F118,)</f>
        <v>0</v>
      </c>
      <c r="G88" s="1094">
        <f>SUM(G95,G115,G118,)</f>
        <v>0</v>
      </c>
      <c r="H88" s="1095">
        <f>SUM(H91,H95,H115,H118,H126,H130,H142)</f>
        <v>236.34800000000001</v>
      </c>
      <c r="I88" s="1095"/>
      <c r="J88" s="1702"/>
      <c r="K88" s="1095">
        <f>SUM(K91,K95,K115,K118,K126,K130,K142)</f>
        <v>268.05673200000001</v>
      </c>
      <c r="L88" s="1095">
        <f>SUM(L91,L95,L115,L118,L126,L130,L142)</f>
        <v>317.75400000000002</v>
      </c>
      <c r="M88" s="1095"/>
      <c r="N88" s="1740" t="s">
        <v>2398</v>
      </c>
      <c r="O88" s="1369"/>
      <c r="P88" s="970" t="s">
        <v>1545</v>
      </c>
      <c r="Q88" s="1007" t="s">
        <v>2766</v>
      </c>
      <c r="R88" s="1741" t="s">
        <v>324</v>
      </c>
      <c r="S88" s="970" t="s">
        <v>324</v>
      </c>
      <c r="T88" s="970" t="s">
        <v>324</v>
      </c>
      <c r="U88" s="970"/>
      <c r="V88" s="1742"/>
    </row>
    <row r="89" spans="1:25" ht="39" customHeight="1">
      <c r="A89" s="2747" t="s">
        <v>2528</v>
      </c>
      <c r="B89" s="2728" t="s">
        <v>2762</v>
      </c>
      <c r="C89" s="2722">
        <v>188711925</v>
      </c>
      <c r="D89" s="1082" t="s">
        <v>471</v>
      </c>
      <c r="E89" s="1051"/>
      <c r="F89" s="1051"/>
      <c r="G89" s="1051"/>
      <c r="H89" s="1053">
        <v>34.1</v>
      </c>
      <c r="I89" s="1054">
        <f t="shared" ref="I89:I91" si="47">K89/H89-1</f>
        <v>-0.85337243401759533</v>
      </c>
      <c r="J89" s="948">
        <v>8</v>
      </c>
      <c r="K89" s="1053">
        <v>5</v>
      </c>
      <c r="L89" s="1053">
        <v>5</v>
      </c>
      <c r="M89" s="1053">
        <v>5</v>
      </c>
      <c r="N89" s="2998" t="s">
        <v>2530</v>
      </c>
      <c r="O89" s="2349" t="s">
        <v>3778</v>
      </c>
      <c r="P89" s="2344" t="s">
        <v>2529</v>
      </c>
      <c r="Q89" s="2344" t="s">
        <v>2532</v>
      </c>
      <c r="R89" s="2992" t="s">
        <v>324</v>
      </c>
      <c r="S89" s="2342" t="s">
        <v>324</v>
      </c>
      <c r="T89" s="2342" t="s">
        <v>324</v>
      </c>
      <c r="U89" s="2343" t="s">
        <v>324</v>
      </c>
      <c r="V89" s="3002" t="s">
        <v>2531</v>
      </c>
      <c r="W89" s="403" t="s">
        <v>2761</v>
      </c>
    </row>
    <row r="90" spans="1:25" ht="34.9" hidden="1" customHeight="1">
      <c r="A90" s="2745"/>
      <c r="B90" s="2728"/>
      <c r="C90" s="2722"/>
      <c r="D90" s="1082" t="s">
        <v>246</v>
      </c>
      <c r="E90" s="1051"/>
      <c r="F90" s="1051"/>
      <c r="G90" s="1051"/>
      <c r="H90" s="1053"/>
      <c r="I90" s="1054"/>
      <c r="J90" s="948"/>
      <c r="K90" s="1053"/>
      <c r="L90" s="1053"/>
      <c r="M90" s="1053"/>
      <c r="N90" s="2999"/>
      <c r="O90" s="2363"/>
      <c r="P90" s="2344"/>
      <c r="Q90" s="2344"/>
      <c r="R90" s="2992"/>
      <c r="S90" s="2342"/>
      <c r="T90" s="2342"/>
      <c r="U90" s="2345"/>
      <c r="V90" s="3004"/>
    </row>
    <row r="91" spans="1:25" ht="52.5" customHeight="1">
      <c r="A91" s="2746"/>
      <c r="B91" s="2728"/>
      <c r="C91" s="2722"/>
      <c r="D91" s="1083" t="s">
        <v>1076</v>
      </c>
      <c r="E91" s="1057">
        <f>E89</f>
        <v>0</v>
      </c>
      <c r="F91" s="1057"/>
      <c r="G91" s="1057">
        <f t="shared" ref="G91:M91" si="48">G89</f>
        <v>0</v>
      </c>
      <c r="H91" s="1059">
        <f t="shared" si="48"/>
        <v>34.1</v>
      </c>
      <c r="I91" s="1060">
        <f t="shared" si="47"/>
        <v>-0.85337243401759533</v>
      </c>
      <c r="J91" s="1704">
        <f t="shared" si="48"/>
        <v>8</v>
      </c>
      <c r="K91" s="1059">
        <f t="shared" si="48"/>
        <v>5</v>
      </c>
      <c r="L91" s="1059">
        <f t="shared" si="48"/>
        <v>5</v>
      </c>
      <c r="M91" s="1059">
        <f t="shared" si="48"/>
        <v>5</v>
      </c>
      <c r="N91" s="3000"/>
      <c r="O91" s="2401"/>
      <c r="P91" s="2342"/>
      <c r="Q91" s="2342"/>
      <c r="R91" s="2993"/>
      <c r="S91" s="2342"/>
      <c r="T91" s="2342"/>
      <c r="U91" s="2344"/>
      <c r="V91" s="3003"/>
      <c r="Y91" s="361"/>
    </row>
    <row r="92" spans="1:25" ht="64.5" customHeight="1">
      <c r="A92" s="2807" t="s">
        <v>3562</v>
      </c>
      <c r="B92" s="2729" t="s">
        <v>3083</v>
      </c>
      <c r="C92" s="3149">
        <v>188711925</v>
      </c>
      <c r="D92" s="1360" t="s">
        <v>471</v>
      </c>
      <c r="E92" s="1099"/>
      <c r="F92" s="1099"/>
      <c r="G92" s="1099"/>
      <c r="H92" s="1737"/>
      <c r="I92" s="1743"/>
      <c r="J92" s="948"/>
      <c r="K92" s="1718"/>
      <c r="L92" s="1718"/>
      <c r="M92" s="1718"/>
      <c r="N92" s="2694" t="s">
        <v>2362</v>
      </c>
      <c r="O92" s="2349" t="s">
        <v>3791</v>
      </c>
      <c r="P92" s="2343" t="s">
        <v>3084</v>
      </c>
      <c r="Q92" s="947" t="s">
        <v>3788</v>
      </c>
      <c r="R92" s="947"/>
      <c r="S92" s="947" t="s">
        <v>324</v>
      </c>
      <c r="T92" s="947" t="s">
        <v>434</v>
      </c>
      <c r="U92" s="947" t="s">
        <v>434</v>
      </c>
      <c r="V92" s="2343" t="s">
        <v>3085</v>
      </c>
      <c r="W92" s="402" t="s">
        <v>2760</v>
      </c>
    </row>
    <row r="93" spans="1:25" ht="65.25" customHeight="1">
      <c r="A93" s="2745"/>
      <c r="B93" s="2753"/>
      <c r="C93" s="3150"/>
      <c r="D93" s="1360" t="s">
        <v>2928</v>
      </c>
      <c r="E93" s="1099"/>
      <c r="F93" s="1099"/>
      <c r="G93" s="1099"/>
      <c r="H93" s="1737"/>
      <c r="I93" s="1743"/>
      <c r="J93" s="948"/>
      <c r="K93" s="1718"/>
      <c r="L93" s="1718"/>
      <c r="M93" s="1718"/>
      <c r="N93" s="2695"/>
      <c r="O93" s="2363"/>
      <c r="P93" s="2345"/>
      <c r="Q93" s="947" t="s">
        <v>3787</v>
      </c>
      <c r="R93" s="947"/>
      <c r="S93" s="947" t="s">
        <v>1409</v>
      </c>
      <c r="T93" s="947" t="s">
        <v>434</v>
      </c>
      <c r="U93" s="947" t="s">
        <v>434</v>
      </c>
      <c r="V93" s="2345"/>
      <c r="W93" s="402"/>
    </row>
    <row r="94" spans="1:25" ht="57.75" customHeight="1">
      <c r="A94" s="2745"/>
      <c r="B94" s="2753"/>
      <c r="C94" s="3150"/>
      <c r="D94" s="1387" t="s">
        <v>246</v>
      </c>
      <c r="E94" s="1051"/>
      <c r="F94" s="1051"/>
      <c r="G94" s="1051"/>
      <c r="H94" s="1053">
        <v>0</v>
      </c>
      <c r="I94" s="1054"/>
      <c r="J94" s="948">
        <f>SUM(J97,J101,J105,J109)</f>
        <v>106.87473199999999</v>
      </c>
      <c r="K94" s="1053">
        <f>SUM(K97,K101,K105,K109)</f>
        <v>106.87473199999999</v>
      </c>
      <c r="L94" s="1053">
        <f t="shared" ref="L94:M94" si="49">SUM(L97,L101,L105,L109)</f>
        <v>175.84900000000002</v>
      </c>
      <c r="M94" s="1053">
        <f t="shared" si="49"/>
        <v>72.387598000000011</v>
      </c>
      <c r="N94" s="2695"/>
      <c r="O94" s="2363"/>
      <c r="P94" s="2345"/>
      <c r="Q94" s="2343" t="s">
        <v>3789</v>
      </c>
      <c r="R94" s="2342" t="s">
        <v>1409</v>
      </c>
      <c r="S94" s="2343" t="s">
        <v>434</v>
      </c>
      <c r="T94" s="2343" t="s">
        <v>434</v>
      </c>
      <c r="U94" s="2343" t="s">
        <v>3392</v>
      </c>
      <c r="V94" s="2345"/>
    </row>
    <row r="95" spans="1:25" ht="153" customHeight="1">
      <c r="A95" s="2746"/>
      <c r="B95" s="2795"/>
      <c r="C95" s="3151"/>
      <c r="D95" s="1056" t="s">
        <v>1076</v>
      </c>
      <c r="E95" s="1057"/>
      <c r="F95" s="1057"/>
      <c r="G95" s="1057"/>
      <c r="H95" s="1059">
        <f>H94</f>
        <v>0</v>
      </c>
      <c r="I95" s="1060"/>
      <c r="J95" s="1704">
        <f>J99+J103+J107+J111</f>
        <v>106.87473199999999</v>
      </c>
      <c r="K95" s="1059">
        <f t="shared" ref="K95" si="50">K94</f>
        <v>106.87473199999999</v>
      </c>
      <c r="L95" s="1059">
        <f>L99+L103+L107+L111</f>
        <v>175.84900000000002</v>
      </c>
      <c r="M95" s="1059">
        <f>M99+M103+M107+M111</f>
        <v>72.388268000000011</v>
      </c>
      <c r="N95" s="2696"/>
      <c r="O95" s="2350"/>
      <c r="P95" s="2344"/>
      <c r="Q95" s="2344"/>
      <c r="R95" s="2342"/>
      <c r="S95" s="2344"/>
      <c r="T95" s="2344"/>
      <c r="U95" s="2344"/>
      <c r="V95" s="2345"/>
    </row>
    <row r="96" spans="1:25" ht="17.25" hidden="1" customHeight="1">
      <c r="A96" s="3048"/>
      <c r="B96" s="2744" t="s">
        <v>3469</v>
      </c>
      <c r="C96" s="2785"/>
      <c r="D96" s="1417" t="s">
        <v>471</v>
      </c>
      <c r="E96" s="1147"/>
      <c r="F96" s="1147"/>
      <c r="G96" s="1147"/>
      <c r="H96" s="1075"/>
      <c r="I96" s="1075"/>
      <c r="J96" s="1068"/>
      <c r="K96" s="1075"/>
      <c r="L96" s="1075"/>
      <c r="M96" s="1075"/>
      <c r="N96" s="3017" t="s">
        <v>2369</v>
      </c>
      <c r="O96" s="2349" t="s">
        <v>3475</v>
      </c>
      <c r="P96" s="3160"/>
      <c r="Q96" s="3161"/>
      <c r="R96" s="3161"/>
      <c r="S96" s="3161"/>
      <c r="T96" s="3161"/>
      <c r="U96" s="3162"/>
      <c r="V96" s="2345"/>
    </row>
    <row r="97" spans="1:84" ht="17.25" hidden="1" customHeight="1">
      <c r="A97" s="3048"/>
      <c r="B97" s="2744"/>
      <c r="C97" s="2785"/>
      <c r="D97" s="1417" t="s">
        <v>246</v>
      </c>
      <c r="E97" s="1147">
        <v>0</v>
      </c>
      <c r="F97" s="1147"/>
      <c r="G97" s="1147">
        <v>400</v>
      </c>
      <c r="H97" s="1075"/>
      <c r="I97" s="1075"/>
      <c r="J97" s="1068">
        <f>147.21279*30%</f>
        <v>44.163837000000001</v>
      </c>
      <c r="K97" s="989">
        <f>147.21279*30%</f>
        <v>44.163837000000001</v>
      </c>
      <c r="L97" s="989">
        <f>147.21279*50%</f>
        <v>73.606395000000006</v>
      </c>
      <c r="M97" s="989">
        <f>147.21279*20%</f>
        <v>29.442558000000005</v>
      </c>
      <c r="N97" s="3018"/>
      <c r="O97" s="2363"/>
      <c r="P97" s="3163"/>
      <c r="Q97" s="3164"/>
      <c r="R97" s="3164"/>
      <c r="S97" s="3164"/>
      <c r="T97" s="3164"/>
      <c r="U97" s="3165"/>
      <c r="V97" s="2345"/>
    </row>
    <row r="98" spans="1:84" ht="18" hidden="1" customHeight="1">
      <c r="A98" s="3048"/>
      <c r="B98" s="2744"/>
      <c r="C98" s="2785"/>
      <c r="D98" s="1417" t="s">
        <v>413</v>
      </c>
      <c r="E98" s="1147"/>
      <c r="F98" s="1147"/>
      <c r="G98" s="1147"/>
      <c r="H98" s="1075"/>
      <c r="I98" s="1075"/>
      <c r="J98" s="1068"/>
      <c r="K98" s="989"/>
      <c r="L98" s="989"/>
      <c r="M98" s="989"/>
      <c r="N98" s="3018"/>
      <c r="O98" s="2363"/>
      <c r="P98" s="3163"/>
      <c r="Q98" s="3164"/>
      <c r="R98" s="3164"/>
      <c r="S98" s="3164"/>
      <c r="T98" s="3164"/>
      <c r="U98" s="3165"/>
      <c r="V98" s="2345"/>
    </row>
    <row r="99" spans="1:84" ht="18.75" hidden="1" customHeight="1">
      <c r="A99" s="3049"/>
      <c r="B99" s="2784"/>
      <c r="C99" s="2786"/>
      <c r="D99" s="1022" t="s">
        <v>1076</v>
      </c>
      <c r="E99" s="1120">
        <f>SUM(E96:E96)</f>
        <v>0</v>
      </c>
      <c r="F99" s="1120">
        <f t="shared" ref="F99" si="51">SUM(F96:F96)</f>
        <v>0</v>
      </c>
      <c r="G99" s="1120">
        <f>SUM(G96:G97)</f>
        <v>400</v>
      </c>
      <c r="H99" s="1075"/>
      <c r="I99" s="1075"/>
      <c r="J99" s="1068">
        <f>147.21279*30%</f>
        <v>44.163837000000001</v>
      </c>
      <c r="K99" s="989">
        <f>147.21279*30%</f>
        <v>44.163837000000001</v>
      </c>
      <c r="L99" s="989">
        <f>147.21279*50%</f>
        <v>73.606395000000006</v>
      </c>
      <c r="M99" s="989">
        <f>147.21279*20%</f>
        <v>29.442558000000005</v>
      </c>
      <c r="N99" s="3019"/>
      <c r="O99" s="2350"/>
      <c r="P99" s="3163"/>
      <c r="Q99" s="3164"/>
      <c r="R99" s="3164"/>
      <c r="S99" s="3164"/>
      <c r="T99" s="3164"/>
      <c r="U99" s="3165"/>
      <c r="V99" s="2345"/>
    </row>
    <row r="100" spans="1:84" ht="16.5" hidden="1" customHeight="1">
      <c r="A100" s="3032"/>
      <c r="B100" s="3032" t="s">
        <v>3468</v>
      </c>
      <c r="C100" s="3037"/>
      <c r="D100" s="1721" t="s">
        <v>471</v>
      </c>
      <c r="E100" s="1722"/>
      <c r="F100" s="1722"/>
      <c r="G100" s="1722"/>
      <c r="H100" s="1723"/>
      <c r="I100" s="1723"/>
      <c r="J100" s="1724"/>
      <c r="K100" s="1725"/>
      <c r="L100" s="1724"/>
      <c r="M100" s="1725"/>
      <c r="N100" s="3039" t="s">
        <v>2369</v>
      </c>
      <c r="O100" s="3146" t="s">
        <v>3476</v>
      </c>
      <c r="P100" s="3163"/>
      <c r="Q100" s="3164"/>
      <c r="R100" s="3164"/>
      <c r="S100" s="3164"/>
      <c r="T100" s="3164"/>
      <c r="U100" s="3165"/>
      <c r="V100" s="2345"/>
    </row>
    <row r="101" spans="1:84" ht="19.5" hidden="1" customHeight="1">
      <c r="A101" s="3032"/>
      <c r="B101" s="3032"/>
      <c r="C101" s="3037"/>
      <c r="D101" s="1721" t="s">
        <v>246</v>
      </c>
      <c r="E101" s="1722">
        <v>0</v>
      </c>
      <c r="F101" s="1722"/>
      <c r="G101" s="1722">
        <v>400</v>
      </c>
      <c r="H101" s="1723"/>
      <c r="I101" s="1723"/>
      <c r="J101" s="1724">
        <f>125.07323*30%</f>
        <v>37.521968999999999</v>
      </c>
      <c r="K101" s="1725">
        <f>125.07323*30%</f>
        <v>37.521968999999999</v>
      </c>
      <c r="L101" s="1725">
        <f>125.07323*50%</f>
        <v>62.536614999999998</v>
      </c>
      <c r="M101" s="1725">
        <f>125.07323*20%</f>
        <v>25.014645999999999</v>
      </c>
      <c r="N101" s="3040"/>
      <c r="O101" s="3147"/>
      <c r="P101" s="3163"/>
      <c r="Q101" s="3164"/>
      <c r="R101" s="3164"/>
      <c r="S101" s="3164"/>
      <c r="T101" s="3164"/>
      <c r="U101" s="3165"/>
      <c r="V101" s="2345"/>
    </row>
    <row r="102" spans="1:84" ht="18" hidden="1" customHeight="1">
      <c r="A102" s="3032"/>
      <c r="B102" s="3032"/>
      <c r="C102" s="3037"/>
      <c r="D102" s="1721" t="s">
        <v>413</v>
      </c>
      <c r="E102" s="1722"/>
      <c r="F102" s="1722"/>
      <c r="G102" s="1722"/>
      <c r="H102" s="1723"/>
      <c r="I102" s="1723"/>
      <c r="J102" s="1724"/>
      <c r="K102" s="1725"/>
      <c r="L102" s="1725"/>
      <c r="M102" s="1725"/>
      <c r="N102" s="3040"/>
      <c r="O102" s="3147"/>
      <c r="P102" s="3163"/>
      <c r="Q102" s="3164"/>
      <c r="R102" s="3164"/>
      <c r="S102" s="3164"/>
      <c r="T102" s="3164"/>
      <c r="U102" s="3165"/>
      <c r="V102" s="2345"/>
    </row>
    <row r="103" spans="1:84" ht="20.25" hidden="1" customHeight="1">
      <c r="A103" s="3033"/>
      <c r="B103" s="3033"/>
      <c r="C103" s="3038"/>
      <c r="D103" s="1727" t="s">
        <v>1076</v>
      </c>
      <c r="E103" s="1728">
        <f>SUM(E100:E100)</f>
        <v>0</v>
      </c>
      <c r="F103" s="1728">
        <f t="shared" ref="F103" si="52">SUM(F100:F100)</f>
        <v>0</v>
      </c>
      <c r="G103" s="1728">
        <f>SUM(G100:G101)</f>
        <v>400</v>
      </c>
      <c r="H103" s="1723"/>
      <c r="I103" s="1723"/>
      <c r="J103" s="1724">
        <f>125.07323*30%</f>
        <v>37.521968999999999</v>
      </c>
      <c r="K103" s="1725">
        <f>125.07323*30%</f>
        <v>37.521968999999999</v>
      </c>
      <c r="L103" s="1725">
        <f>125.07323*50%</f>
        <v>62.536614999999998</v>
      </c>
      <c r="M103" s="1725">
        <f>125.07323*20%</f>
        <v>25.014645999999999</v>
      </c>
      <c r="N103" s="3041"/>
      <c r="O103" s="3148"/>
      <c r="P103" s="3163"/>
      <c r="Q103" s="3164"/>
      <c r="R103" s="3164"/>
      <c r="S103" s="3164"/>
      <c r="T103" s="3164"/>
      <c r="U103" s="3165"/>
      <c r="V103" s="2345"/>
    </row>
    <row r="104" spans="1:84" s="618" customFormat="1" ht="15.75" hidden="1" customHeight="1">
      <c r="A104" s="3135"/>
      <c r="B104" s="3137" t="s">
        <v>3472</v>
      </c>
      <c r="C104" s="3139"/>
      <c r="D104" s="1744" t="s">
        <v>471</v>
      </c>
      <c r="E104" s="1745"/>
      <c r="F104" s="1745"/>
      <c r="G104" s="1745"/>
      <c r="H104" s="1746"/>
      <c r="I104" s="1746"/>
      <c r="J104" s="1747"/>
      <c r="K104" s="1748"/>
      <c r="L104" s="1748"/>
      <c r="M104" s="1748"/>
      <c r="N104" s="3141" t="s">
        <v>2369</v>
      </c>
      <c r="O104" s="3144" t="s">
        <v>3477</v>
      </c>
      <c r="P104" s="3163"/>
      <c r="Q104" s="3164"/>
      <c r="R104" s="3164"/>
      <c r="S104" s="3164"/>
      <c r="T104" s="3164"/>
      <c r="U104" s="3165"/>
      <c r="V104" s="2345"/>
      <c r="X104" s="236"/>
      <c r="Y104" s="236"/>
      <c r="Z104" s="236"/>
      <c r="AA104" s="236"/>
      <c r="AB104" s="236"/>
      <c r="AC104" s="236"/>
      <c r="AD104" s="236"/>
      <c r="AE104" s="236"/>
      <c r="AF104" s="236"/>
      <c r="AG104" s="236"/>
      <c r="AH104" s="236"/>
      <c r="AI104" s="236"/>
      <c r="AJ104" s="236"/>
      <c r="AK104" s="236"/>
      <c r="AL104" s="236"/>
      <c r="AM104" s="236"/>
      <c r="AN104" s="236"/>
      <c r="AO104" s="236"/>
      <c r="AP104" s="236"/>
      <c r="AQ104" s="236"/>
      <c r="AR104" s="236"/>
      <c r="AS104" s="236"/>
      <c r="AT104" s="236"/>
      <c r="AU104" s="236"/>
      <c r="AV104" s="236"/>
      <c r="AW104" s="236"/>
      <c r="AX104" s="236"/>
      <c r="AY104" s="236"/>
      <c r="AZ104" s="236"/>
      <c r="BA104" s="236"/>
      <c r="BB104" s="236"/>
      <c r="BC104" s="236"/>
      <c r="BD104" s="236"/>
      <c r="BE104" s="236"/>
      <c r="BF104" s="236"/>
      <c r="BG104" s="236"/>
      <c r="BH104" s="236"/>
      <c r="BI104" s="236"/>
      <c r="BJ104" s="236"/>
      <c r="BK104" s="236"/>
      <c r="BL104" s="236"/>
      <c r="BM104" s="236"/>
      <c r="BN104" s="236"/>
      <c r="BO104" s="236"/>
      <c r="BP104" s="236"/>
      <c r="BQ104" s="236"/>
      <c r="BR104" s="236"/>
      <c r="BS104" s="236"/>
      <c r="BT104" s="236"/>
      <c r="BU104" s="236"/>
      <c r="BV104" s="236"/>
      <c r="BW104" s="236"/>
      <c r="BX104" s="236"/>
      <c r="BY104" s="236"/>
      <c r="BZ104" s="236"/>
      <c r="CA104" s="236"/>
      <c r="CB104" s="236"/>
      <c r="CC104" s="236"/>
      <c r="CD104" s="236"/>
      <c r="CE104" s="236"/>
      <c r="CF104" s="236"/>
    </row>
    <row r="105" spans="1:84" s="618" customFormat="1" ht="18.75" hidden="1" customHeight="1">
      <c r="A105" s="3135"/>
      <c r="B105" s="3137"/>
      <c r="C105" s="3139"/>
      <c r="D105" s="1744" t="s">
        <v>246</v>
      </c>
      <c r="E105" s="1745">
        <v>0</v>
      </c>
      <c r="F105" s="1745"/>
      <c r="G105" s="1745">
        <v>400</v>
      </c>
      <c r="H105" s="1746"/>
      <c r="I105" s="1746"/>
      <c r="J105" s="1747">
        <f>72.58532*30%</f>
        <v>21.775595999999997</v>
      </c>
      <c r="K105" s="1748">
        <f>72.58532*30%</f>
        <v>21.775595999999997</v>
      </c>
      <c r="L105" s="1748">
        <f>72.58532*50%</f>
        <v>36.292659999999998</v>
      </c>
      <c r="M105" s="1748">
        <f>72.58532*20%</f>
        <v>14.517064</v>
      </c>
      <c r="N105" s="3142"/>
      <c r="O105" s="3144"/>
      <c r="P105" s="3163"/>
      <c r="Q105" s="3164"/>
      <c r="R105" s="3164"/>
      <c r="S105" s="3164"/>
      <c r="T105" s="3164"/>
      <c r="U105" s="3165"/>
      <c r="V105" s="2345"/>
      <c r="X105" s="236"/>
      <c r="Y105" s="236"/>
      <c r="Z105" s="236"/>
      <c r="AA105" s="236"/>
      <c r="AB105" s="236"/>
      <c r="AC105" s="236"/>
      <c r="AD105" s="236"/>
      <c r="AE105" s="236"/>
      <c r="AF105" s="236"/>
      <c r="AG105" s="236"/>
      <c r="AH105" s="236"/>
      <c r="AI105" s="236"/>
      <c r="AJ105" s="236"/>
      <c r="AK105" s="236"/>
      <c r="AL105" s="236"/>
      <c r="AM105" s="236"/>
      <c r="AN105" s="236"/>
      <c r="AO105" s="236"/>
      <c r="AP105" s="236"/>
      <c r="AQ105" s="236"/>
      <c r="AR105" s="236"/>
      <c r="AS105" s="236"/>
      <c r="AT105" s="236"/>
      <c r="AU105" s="236"/>
      <c r="AV105" s="236"/>
      <c r="AW105" s="236"/>
      <c r="AX105" s="236"/>
      <c r="AY105" s="236"/>
      <c r="AZ105" s="236"/>
      <c r="BA105" s="236"/>
      <c r="BB105" s="236"/>
      <c r="BC105" s="236"/>
      <c r="BD105" s="236"/>
      <c r="BE105" s="236"/>
      <c r="BF105" s="236"/>
      <c r="BG105" s="236"/>
      <c r="BH105" s="236"/>
      <c r="BI105" s="236"/>
      <c r="BJ105" s="236"/>
      <c r="BK105" s="236"/>
      <c r="BL105" s="236"/>
      <c r="BM105" s="236"/>
      <c r="BN105" s="236"/>
      <c r="BO105" s="236"/>
      <c r="BP105" s="236"/>
      <c r="BQ105" s="236"/>
      <c r="BR105" s="236"/>
      <c r="BS105" s="236"/>
      <c r="BT105" s="236"/>
      <c r="BU105" s="236"/>
      <c r="BV105" s="236"/>
      <c r="BW105" s="236"/>
      <c r="BX105" s="236"/>
      <c r="BY105" s="236"/>
      <c r="BZ105" s="236"/>
      <c r="CA105" s="236"/>
      <c r="CB105" s="236"/>
      <c r="CC105" s="236"/>
      <c r="CD105" s="236"/>
      <c r="CE105" s="236"/>
      <c r="CF105" s="236"/>
    </row>
    <row r="106" spans="1:84" s="618" customFormat="1" ht="18.75" hidden="1" customHeight="1">
      <c r="A106" s="3135"/>
      <c r="B106" s="3137"/>
      <c r="C106" s="3139"/>
      <c r="D106" s="1744" t="s">
        <v>413</v>
      </c>
      <c r="E106" s="1745"/>
      <c r="F106" s="1745"/>
      <c r="G106" s="1745"/>
      <c r="H106" s="1746"/>
      <c r="I106" s="1746"/>
      <c r="J106" s="1747"/>
      <c r="K106" s="1748"/>
      <c r="L106" s="1748"/>
      <c r="M106" s="1748"/>
      <c r="N106" s="3142"/>
      <c r="O106" s="3144"/>
      <c r="P106" s="3163"/>
      <c r="Q106" s="3164"/>
      <c r="R106" s="3164"/>
      <c r="S106" s="3164"/>
      <c r="T106" s="3164"/>
      <c r="U106" s="3165"/>
      <c r="V106" s="2345"/>
      <c r="X106" s="236"/>
      <c r="Y106" s="236"/>
      <c r="Z106" s="236"/>
      <c r="AA106" s="236"/>
      <c r="AB106" s="236"/>
      <c r="AC106" s="236"/>
      <c r="AD106" s="236"/>
      <c r="AE106" s="236"/>
      <c r="AF106" s="236"/>
      <c r="AG106" s="236"/>
      <c r="AH106" s="236"/>
      <c r="AI106" s="236"/>
      <c r="AJ106" s="236"/>
      <c r="AK106" s="236"/>
      <c r="AL106" s="236"/>
      <c r="AM106" s="236"/>
      <c r="AN106" s="236"/>
      <c r="AO106" s="236"/>
      <c r="AP106" s="236"/>
      <c r="AQ106" s="236"/>
      <c r="AR106" s="236"/>
      <c r="AS106" s="236"/>
      <c r="AT106" s="236"/>
      <c r="AU106" s="236"/>
      <c r="AV106" s="236"/>
      <c r="AW106" s="236"/>
      <c r="AX106" s="236"/>
      <c r="AY106" s="236"/>
      <c r="AZ106" s="236"/>
      <c r="BA106" s="236"/>
      <c r="BB106" s="236"/>
      <c r="BC106" s="236"/>
      <c r="BD106" s="236"/>
      <c r="BE106" s="236"/>
      <c r="BF106" s="236"/>
      <c r="BG106" s="236"/>
      <c r="BH106" s="236"/>
      <c r="BI106" s="236"/>
      <c r="BJ106" s="236"/>
      <c r="BK106" s="236"/>
      <c r="BL106" s="236"/>
      <c r="BM106" s="236"/>
      <c r="BN106" s="236"/>
      <c r="BO106" s="236"/>
      <c r="BP106" s="236"/>
      <c r="BQ106" s="236"/>
      <c r="BR106" s="236"/>
      <c r="BS106" s="236"/>
      <c r="BT106" s="236"/>
      <c r="BU106" s="236"/>
      <c r="BV106" s="236"/>
      <c r="BW106" s="236"/>
      <c r="BX106" s="236"/>
      <c r="BY106" s="236"/>
      <c r="BZ106" s="236"/>
      <c r="CA106" s="236"/>
      <c r="CB106" s="236"/>
      <c r="CC106" s="236"/>
      <c r="CD106" s="236"/>
      <c r="CE106" s="236"/>
      <c r="CF106" s="236"/>
    </row>
    <row r="107" spans="1:84" s="618" customFormat="1" ht="12.75" hidden="1" customHeight="1">
      <c r="A107" s="3136"/>
      <c r="B107" s="3138"/>
      <c r="C107" s="3140"/>
      <c r="D107" s="1749" t="s">
        <v>1076</v>
      </c>
      <c r="E107" s="1750">
        <f>SUM(E104:E104)</f>
        <v>0</v>
      </c>
      <c r="F107" s="1750">
        <f t="shared" ref="F107" si="53">SUM(F104:F104)</f>
        <v>0</v>
      </c>
      <c r="G107" s="1750">
        <f>SUM(G104:G105)</f>
        <v>400</v>
      </c>
      <c r="H107" s="1746"/>
      <c r="I107" s="1746"/>
      <c r="J107" s="1747">
        <f>72.58532*30%</f>
        <v>21.775595999999997</v>
      </c>
      <c r="K107" s="1748">
        <f>72.58532*30%</f>
        <v>21.775595999999997</v>
      </c>
      <c r="L107" s="1748">
        <f>72.58532*50%</f>
        <v>36.292659999999998</v>
      </c>
      <c r="M107" s="1748">
        <f>72.58532*20%</f>
        <v>14.517064</v>
      </c>
      <c r="N107" s="3143"/>
      <c r="O107" s="3145"/>
      <c r="P107" s="3163"/>
      <c r="Q107" s="3164"/>
      <c r="R107" s="3164"/>
      <c r="S107" s="3164"/>
      <c r="T107" s="3164"/>
      <c r="U107" s="3165"/>
      <c r="V107" s="2345"/>
      <c r="X107" s="236"/>
      <c r="Y107" s="236"/>
      <c r="Z107" s="236"/>
      <c r="AA107" s="236"/>
      <c r="AB107" s="236"/>
      <c r="AC107" s="236"/>
      <c r="AD107" s="236"/>
      <c r="AE107" s="236"/>
      <c r="AF107" s="236"/>
      <c r="AG107" s="236"/>
      <c r="AH107" s="236"/>
      <c r="AI107" s="236"/>
      <c r="AJ107" s="236"/>
      <c r="AK107" s="236"/>
      <c r="AL107" s="236"/>
      <c r="AM107" s="236"/>
      <c r="AN107" s="236"/>
      <c r="AO107" s="236"/>
      <c r="AP107" s="236"/>
      <c r="AQ107" s="236"/>
      <c r="AR107" s="236"/>
      <c r="AS107" s="236"/>
      <c r="AT107" s="236"/>
      <c r="AU107" s="236"/>
      <c r="AV107" s="236"/>
      <c r="AW107" s="236"/>
      <c r="AX107" s="236"/>
      <c r="AY107" s="236"/>
      <c r="AZ107" s="236"/>
      <c r="BA107" s="236"/>
      <c r="BB107" s="236"/>
      <c r="BC107" s="236"/>
      <c r="BD107" s="236"/>
      <c r="BE107" s="236"/>
      <c r="BF107" s="236"/>
      <c r="BG107" s="236"/>
      <c r="BH107" s="236"/>
      <c r="BI107" s="236"/>
      <c r="BJ107" s="236"/>
      <c r="BK107" s="236"/>
      <c r="BL107" s="236"/>
      <c r="BM107" s="236"/>
      <c r="BN107" s="236"/>
      <c r="BO107" s="236"/>
      <c r="BP107" s="236"/>
      <c r="BQ107" s="236"/>
      <c r="BR107" s="236"/>
      <c r="BS107" s="236"/>
      <c r="BT107" s="236"/>
      <c r="BU107" s="236"/>
      <c r="BV107" s="236"/>
      <c r="BW107" s="236"/>
      <c r="BX107" s="236"/>
      <c r="BY107" s="236"/>
      <c r="BZ107" s="236"/>
      <c r="CA107" s="236"/>
      <c r="CB107" s="236"/>
      <c r="CC107" s="236"/>
      <c r="CD107" s="236"/>
      <c r="CE107" s="236"/>
      <c r="CF107" s="236"/>
    </row>
    <row r="108" spans="1:84" ht="21" hidden="1" customHeight="1">
      <c r="A108" s="3034"/>
      <c r="B108" s="3082" t="s">
        <v>2703</v>
      </c>
      <c r="C108" s="3083"/>
      <c r="D108" s="1729" t="s">
        <v>471</v>
      </c>
      <c r="E108" s="1730"/>
      <c r="F108" s="1730"/>
      <c r="G108" s="1730"/>
      <c r="H108" s="1731"/>
      <c r="I108" s="1731"/>
      <c r="J108" s="1732"/>
      <c r="K108" s="1733"/>
      <c r="L108" s="1733"/>
      <c r="M108" s="1733"/>
      <c r="N108" s="3085" t="s">
        <v>2369</v>
      </c>
      <c r="O108" s="3088"/>
      <c r="P108" s="3163"/>
      <c r="Q108" s="3164"/>
      <c r="R108" s="3164"/>
      <c r="S108" s="3164"/>
      <c r="T108" s="3164"/>
      <c r="U108" s="3165"/>
      <c r="V108" s="2345"/>
    </row>
    <row r="109" spans="1:84" ht="23.25" hidden="1" customHeight="1">
      <c r="A109" s="3034"/>
      <c r="B109" s="3082"/>
      <c r="C109" s="3083"/>
      <c r="D109" s="1729" t="s">
        <v>246</v>
      </c>
      <c r="E109" s="1730">
        <v>0</v>
      </c>
      <c r="F109" s="1730"/>
      <c r="G109" s="1730">
        <v>400</v>
      </c>
      <c r="H109" s="1731"/>
      <c r="I109" s="1731"/>
      <c r="J109" s="1732">
        <v>3.4133300000000002</v>
      </c>
      <c r="K109" s="1733">
        <v>3.4133300000000002</v>
      </c>
      <c r="L109" s="1733">
        <v>3.4133300000000002</v>
      </c>
      <c r="M109" s="1733">
        <v>3.4133300000000002</v>
      </c>
      <c r="N109" s="3086"/>
      <c r="O109" s="3088"/>
      <c r="P109" s="3163"/>
      <c r="Q109" s="3164"/>
      <c r="R109" s="3164"/>
      <c r="S109" s="3164"/>
      <c r="T109" s="3164"/>
      <c r="U109" s="3165"/>
      <c r="V109" s="2345"/>
    </row>
    <row r="110" spans="1:84" ht="20.25" hidden="1" customHeight="1">
      <c r="A110" s="3034"/>
      <c r="B110" s="3082"/>
      <c r="C110" s="3083"/>
      <c r="D110" s="1729" t="s">
        <v>413</v>
      </c>
      <c r="E110" s="1730"/>
      <c r="F110" s="1730"/>
      <c r="G110" s="1730"/>
      <c r="H110" s="1731"/>
      <c r="I110" s="1731"/>
      <c r="J110" s="1732"/>
      <c r="K110" s="1733"/>
      <c r="L110" s="1733"/>
      <c r="M110" s="1733"/>
      <c r="N110" s="3086"/>
      <c r="O110" s="3088"/>
      <c r="P110" s="3163"/>
      <c r="Q110" s="3164"/>
      <c r="R110" s="3164"/>
      <c r="S110" s="3164"/>
      <c r="T110" s="3164"/>
      <c r="U110" s="3165"/>
      <c r="V110" s="2345"/>
    </row>
    <row r="111" spans="1:84" ht="18" hidden="1" customHeight="1">
      <c r="A111" s="3035"/>
      <c r="B111" s="3013"/>
      <c r="C111" s="3084"/>
      <c r="D111" s="1734" t="s">
        <v>1076</v>
      </c>
      <c r="E111" s="1735">
        <f>SUM(E108:E108)</f>
        <v>0</v>
      </c>
      <c r="F111" s="1735">
        <f t="shared" ref="F111" si="54">SUM(F108:F108)</f>
        <v>0</v>
      </c>
      <c r="G111" s="1735">
        <f>SUM(G108:G109)</f>
        <v>400</v>
      </c>
      <c r="H111" s="1731"/>
      <c r="I111" s="1731"/>
      <c r="J111" s="1732">
        <v>3.4133300000000002</v>
      </c>
      <c r="K111" s="1732">
        <v>3.4133300000000002</v>
      </c>
      <c r="L111" s="1733">
        <v>3.4133300000000002</v>
      </c>
      <c r="M111" s="1733">
        <v>3.4140000000000001</v>
      </c>
      <c r="N111" s="3087"/>
      <c r="O111" s="3089"/>
      <c r="P111" s="3166"/>
      <c r="Q111" s="3167"/>
      <c r="R111" s="3167"/>
      <c r="S111" s="3167"/>
      <c r="T111" s="3167"/>
      <c r="U111" s="3168"/>
      <c r="V111" s="2345"/>
    </row>
    <row r="112" spans="1:84" ht="31.15" customHeight="1">
      <c r="A112" s="3133" t="s">
        <v>3563</v>
      </c>
      <c r="B112" s="2367" t="s">
        <v>2767</v>
      </c>
      <c r="C112" s="2706">
        <v>155936576</v>
      </c>
      <c r="D112" s="1751" t="s">
        <v>471</v>
      </c>
      <c r="E112" s="1099"/>
      <c r="F112" s="1099"/>
      <c r="G112" s="1099"/>
      <c r="H112" s="1737"/>
      <c r="I112" s="1737"/>
      <c r="J112" s="948"/>
      <c r="K112" s="1718"/>
      <c r="L112" s="1718"/>
      <c r="M112" s="1718"/>
      <c r="N112" s="2694" t="s">
        <v>2369</v>
      </c>
      <c r="O112" s="2349" t="s">
        <v>3783</v>
      </c>
      <c r="P112" s="2343" t="s">
        <v>1546</v>
      </c>
      <c r="Q112" s="2343" t="s">
        <v>3764</v>
      </c>
      <c r="R112" s="1703"/>
      <c r="S112" s="2343" t="s">
        <v>1805</v>
      </c>
      <c r="T112" s="2343" t="s">
        <v>434</v>
      </c>
      <c r="U112" s="2343"/>
      <c r="V112" s="2345"/>
      <c r="W112" s="402" t="s">
        <v>2760</v>
      </c>
    </row>
    <row r="113" spans="1:23" ht="32.450000000000003" customHeight="1">
      <c r="A113" s="3134"/>
      <c r="B113" s="2367"/>
      <c r="C113" s="2706"/>
      <c r="D113" s="1751" t="s">
        <v>2928</v>
      </c>
      <c r="E113" s="1099"/>
      <c r="F113" s="1099"/>
      <c r="G113" s="1099"/>
      <c r="H113" s="1737"/>
      <c r="I113" s="1737"/>
      <c r="J113" s="948"/>
      <c r="K113" s="1718"/>
      <c r="L113" s="1718"/>
      <c r="M113" s="1718"/>
      <c r="N113" s="2695"/>
      <c r="O113" s="2363"/>
      <c r="P113" s="2345"/>
      <c r="Q113" s="2345"/>
      <c r="R113" s="1703"/>
      <c r="S113" s="2345"/>
      <c r="T113" s="2345"/>
      <c r="U113" s="2345"/>
      <c r="V113" s="2345"/>
      <c r="W113" s="402"/>
    </row>
    <row r="114" spans="1:23" ht="46.15" customHeight="1">
      <c r="A114" s="3134"/>
      <c r="B114" s="2367"/>
      <c r="C114" s="2706"/>
      <c r="D114" s="1156" t="s">
        <v>246</v>
      </c>
      <c r="E114" s="1051"/>
      <c r="F114" s="1051"/>
      <c r="G114" s="1051"/>
      <c r="H114" s="1718">
        <v>129.036</v>
      </c>
      <c r="I114" s="1718"/>
      <c r="J114" s="1752"/>
      <c r="K114" s="1053"/>
      <c r="L114" s="1053"/>
      <c r="M114" s="1053"/>
      <c r="N114" s="2695"/>
      <c r="O114" s="2363"/>
      <c r="P114" s="2345"/>
      <c r="Q114" s="2345"/>
      <c r="R114" s="3152" t="s">
        <v>324</v>
      </c>
      <c r="S114" s="2345"/>
      <c r="T114" s="2345"/>
      <c r="U114" s="2345"/>
      <c r="V114" s="2345"/>
    </row>
    <row r="115" spans="1:23" ht="49.9" customHeight="1">
      <c r="A115" s="2809"/>
      <c r="B115" s="2367"/>
      <c r="C115" s="2706"/>
      <c r="D115" s="1448" t="s">
        <v>1076</v>
      </c>
      <c r="E115" s="1088">
        <f>E114</f>
        <v>0</v>
      </c>
      <c r="F115" s="1088">
        <f t="shared" ref="F115:H115" si="55">F114</f>
        <v>0</v>
      </c>
      <c r="G115" s="1088">
        <f t="shared" si="55"/>
        <v>0</v>
      </c>
      <c r="H115" s="1059">
        <f t="shared" si="55"/>
        <v>129.036</v>
      </c>
      <c r="I115" s="1059"/>
      <c r="J115" s="1704"/>
      <c r="K115" s="1059"/>
      <c r="L115" s="1059"/>
      <c r="M115" s="1059"/>
      <c r="N115" s="2696"/>
      <c r="O115" s="2350"/>
      <c r="P115" s="2344"/>
      <c r="Q115" s="2344"/>
      <c r="R115" s="2992"/>
      <c r="S115" s="2344"/>
      <c r="T115" s="2344"/>
      <c r="U115" s="2344"/>
      <c r="V115" s="2345"/>
    </row>
    <row r="116" spans="1:23" ht="25.15" hidden="1" customHeight="1">
      <c r="A116" s="2997" t="s">
        <v>2158</v>
      </c>
      <c r="B116" s="3022" t="s">
        <v>1262</v>
      </c>
      <c r="C116" s="3024">
        <v>188711925</v>
      </c>
      <c r="D116" s="1753" t="s">
        <v>471</v>
      </c>
      <c r="E116" s="1495">
        <v>14.951000000000001</v>
      </c>
      <c r="F116" s="1495"/>
      <c r="G116" s="1495"/>
      <c r="H116" s="1497"/>
      <c r="I116" s="1497"/>
      <c r="J116" s="1713"/>
      <c r="K116" s="1497"/>
      <c r="L116" s="1497"/>
      <c r="M116" s="1497"/>
      <c r="N116" s="3027"/>
      <c r="O116" s="3030" t="s">
        <v>2587</v>
      </c>
      <c r="P116" s="2918" t="s">
        <v>1547</v>
      </c>
      <c r="Q116" s="2918" t="s">
        <v>1559</v>
      </c>
      <c r="R116" s="2994" t="s">
        <v>393</v>
      </c>
      <c r="S116" s="2851" t="s">
        <v>434</v>
      </c>
      <c r="T116" s="2851" t="s">
        <v>434</v>
      </c>
      <c r="U116" s="1498"/>
      <c r="V116" s="2345"/>
    </row>
    <row r="117" spans="1:23" ht="23.45" hidden="1" customHeight="1">
      <c r="A117" s="2997"/>
      <c r="B117" s="3023"/>
      <c r="C117" s="3025"/>
      <c r="D117" s="1754" t="s">
        <v>246</v>
      </c>
      <c r="E117" s="1500"/>
      <c r="F117" s="1500"/>
      <c r="G117" s="1500"/>
      <c r="H117" s="1497"/>
      <c r="I117" s="1497"/>
      <c r="J117" s="1713"/>
      <c r="K117" s="1497"/>
      <c r="L117" s="1497"/>
      <c r="M117" s="1497"/>
      <c r="N117" s="3028"/>
      <c r="O117" s="3031"/>
      <c r="P117" s="2918"/>
      <c r="Q117" s="2918"/>
      <c r="R117" s="2995"/>
      <c r="S117" s="2851"/>
      <c r="T117" s="2851"/>
      <c r="U117" s="1498"/>
      <c r="V117" s="2345"/>
    </row>
    <row r="118" spans="1:23" ht="25.15" hidden="1" customHeight="1">
      <c r="A118" s="3126"/>
      <c r="B118" s="3023"/>
      <c r="C118" s="3025"/>
      <c r="D118" s="1755" t="s">
        <v>1076</v>
      </c>
      <c r="E118" s="1500">
        <f>E116</f>
        <v>14.951000000000001</v>
      </c>
      <c r="F118" s="1500">
        <f t="shared" ref="F118:L118" si="56">F116</f>
        <v>0</v>
      </c>
      <c r="G118" s="1500">
        <f t="shared" si="56"/>
        <v>0</v>
      </c>
      <c r="H118" s="1497">
        <f t="shared" si="56"/>
        <v>0</v>
      </c>
      <c r="I118" s="1497"/>
      <c r="J118" s="1713"/>
      <c r="K118" s="1497">
        <f t="shared" si="56"/>
        <v>0</v>
      </c>
      <c r="L118" s="1497">
        <f t="shared" si="56"/>
        <v>0</v>
      </c>
      <c r="M118" s="1497"/>
      <c r="N118" s="3029"/>
      <c r="O118" s="3031"/>
      <c r="P118" s="2851"/>
      <c r="Q118" s="2851"/>
      <c r="R118" s="2996"/>
      <c r="S118" s="2851"/>
      <c r="T118" s="2851"/>
      <c r="U118" s="1498"/>
      <c r="V118" s="2345"/>
    </row>
    <row r="119" spans="1:23" ht="27" hidden="1" customHeight="1">
      <c r="A119" s="1492" t="s">
        <v>2162</v>
      </c>
      <c r="B119" s="1756" t="s">
        <v>1263</v>
      </c>
      <c r="C119" s="1493"/>
      <c r="D119" s="1716"/>
      <c r="E119" s="1500">
        <f>SUM(E121)</f>
        <v>1.18</v>
      </c>
      <c r="F119" s="1500">
        <f t="shared" ref="F119:L119" si="57">SUM(F121)</f>
        <v>0</v>
      </c>
      <c r="G119" s="1500">
        <f t="shared" si="57"/>
        <v>0</v>
      </c>
      <c r="H119" s="1497">
        <f t="shared" si="57"/>
        <v>0</v>
      </c>
      <c r="I119" s="1497"/>
      <c r="J119" s="1713"/>
      <c r="K119" s="1497">
        <f t="shared" si="57"/>
        <v>0</v>
      </c>
      <c r="L119" s="1497">
        <f t="shared" si="57"/>
        <v>0</v>
      </c>
      <c r="M119" s="1497"/>
      <c r="N119" s="1757"/>
      <c r="O119" s="1713" t="s">
        <v>2399</v>
      </c>
      <c r="P119" s="1498" t="s">
        <v>1548</v>
      </c>
      <c r="Q119" s="1656"/>
      <c r="R119" s="1714"/>
      <c r="S119" s="1498"/>
      <c r="T119" s="1498"/>
      <c r="U119" s="1498"/>
      <c r="V119" s="2345"/>
    </row>
    <row r="120" spans="1:23" ht="20.100000000000001" hidden="1" customHeight="1">
      <c r="A120" s="2997" t="s">
        <v>2159</v>
      </c>
      <c r="B120" s="3026" t="s">
        <v>1264</v>
      </c>
      <c r="C120" s="3047" t="s">
        <v>1080</v>
      </c>
      <c r="D120" s="1753" t="s">
        <v>471</v>
      </c>
      <c r="E120" s="1495">
        <v>1.18</v>
      </c>
      <c r="F120" s="1495"/>
      <c r="G120" s="1495"/>
      <c r="H120" s="1497"/>
      <c r="I120" s="1497"/>
      <c r="J120" s="1713"/>
      <c r="K120" s="1497"/>
      <c r="L120" s="1497"/>
      <c r="M120" s="1497"/>
      <c r="N120" s="3027"/>
      <c r="O120" s="2857" t="s">
        <v>1563</v>
      </c>
      <c r="P120" s="2918" t="s">
        <v>1549</v>
      </c>
      <c r="Q120" s="2918" t="s">
        <v>1560</v>
      </c>
      <c r="R120" s="2996" t="s">
        <v>9</v>
      </c>
      <c r="S120" s="2851" t="s">
        <v>1340</v>
      </c>
      <c r="T120" s="2851" t="s">
        <v>1470</v>
      </c>
      <c r="U120" s="1498"/>
      <c r="V120" s="2345"/>
    </row>
    <row r="121" spans="1:23" ht="20.100000000000001" hidden="1" customHeight="1">
      <c r="A121" s="2997"/>
      <c r="B121" s="3026"/>
      <c r="C121" s="3047"/>
      <c r="D121" s="1758" t="s">
        <v>1076</v>
      </c>
      <c r="E121" s="1495">
        <f>E120</f>
        <v>1.18</v>
      </c>
      <c r="F121" s="1495"/>
      <c r="G121" s="1495">
        <f t="shared" ref="G121:L121" si="58">G120</f>
        <v>0</v>
      </c>
      <c r="H121" s="1497">
        <f t="shared" si="58"/>
        <v>0</v>
      </c>
      <c r="I121" s="1497"/>
      <c r="J121" s="1713"/>
      <c r="K121" s="1497">
        <f t="shared" si="58"/>
        <v>0</v>
      </c>
      <c r="L121" s="1497">
        <f t="shared" si="58"/>
        <v>0</v>
      </c>
      <c r="M121" s="1497"/>
      <c r="N121" s="3029"/>
      <c r="O121" s="2920"/>
      <c r="P121" s="2851"/>
      <c r="Q121" s="2851"/>
      <c r="R121" s="3005"/>
      <c r="S121" s="2851"/>
      <c r="T121" s="2851"/>
      <c r="U121" s="1498"/>
      <c r="V121" s="2345"/>
    </row>
    <row r="122" spans="1:23" ht="20.100000000000001" hidden="1" customHeight="1">
      <c r="A122" s="1759"/>
      <c r="B122" s="1760" t="s">
        <v>339</v>
      </c>
      <c r="C122" s="1761"/>
      <c r="D122" s="1762"/>
      <c r="E122" s="1713"/>
      <c r="F122" s="1713"/>
      <c r="G122" s="1713"/>
      <c r="H122" s="1715"/>
      <c r="I122" s="1715"/>
      <c r="J122" s="1713"/>
      <c r="K122" s="1715"/>
      <c r="L122" s="1715"/>
      <c r="M122" s="1715"/>
      <c r="N122" s="1763"/>
      <c r="O122" s="1764"/>
      <c r="P122" s="1765"/>
      <c r="Q122" s="1765"/>
      <c r="R122" s="1765"/>
      <c r="S122" s="1498"/>
      <c r="T122" s="1498"/>
      <c r="U122" s="1498"/>
      <c r="V122" s="2345"/>
    </row>
    <row r="123" spans="1:23" ht="32.450000000000003" customHeight="1">
      <c r="A123" s="2727" t="s">
        <v>3564</v>
      </c>
      <c r="B123" s="2575" t="s">
        <v>2780</v>
      </c>
      <c r="C123" s="2881">
        <v>191342858</v>
      </c>
      <c r="D123" s="1082" t="s">
        <v>471</v>
      </c>
      <c r="E123" s="1051"/>
      <c r="F123" s="1051"/>
      <c r="G123" s="1051"/>
      <c r="H123" s="1718"/>
      <c r="I123" s="1718"/>
      <c r="J123" s="1752"/>
      <c r="K123" s="1053"/>
      <c r="L123" s="1053"/>
      <c r="M123" s="1053"/>
      <c r="N123" s="2998" t="s">
        <v>2794</v>
      </c>
      <c r="O123" s="2395" t="s">
        <v>3780</v>
      </c>
      <c r="P123" s="2344" t="s">
        <v>2791</v>
      </c>
      <c r="Q123" s="2344" t="s">
        <v>3781</v>
      </c>
      <c r="R123" s="3152" t="s">
        <v>434</v>
      </c>
      <c r="S123" s="2342" t="s">
        <v>434</v>
      </c>
      <c r="T123" s="2342" t="s">
        <v>434</v>
      </c>
      <c r="U123" s="2343" t="s">
        <v>3782</v>
      </c>
      <c r="V123" s="2345"/>
      <c r="W123" s="403" t="s">
        <v>2779</v>
      </c>
    </row>
    <row r="124" spans="1:23" ht="32.450000000000003" customHeight="1">
      <c r="A124" s="2727"/>
      <c r="B124" s="2580"/>
      <c r="C124" s="2887"/>
      <c r="D124" s="1751" t="s">
        <v>2928</v>
      </c>
      <c r="E124" s="1112"/>
      <c r="F124" s="1112"/>
      <c r="G124" s="1112"/>
      <c r="H124" s="1718"/>
      <c r="I124" s="1718"/>
      <c r="J124" s="1752"/>
      <c r="K124" s="1053"/>
      <c r="L124" s="1053"/>
      <c r="M124" s="1053"/>
      <c r="N124" s="2999"/>
      <c r="O124" s="2395"/>
      <c r="P124" s="2344"/>
      <c r="Q124" s="2344"/>
      <c r="R124" s="3153"/>
      <c r="S124" s="2342"/>
      <c r="T124" s="2342"/>
      <c r="U124" s="2345"/>
      <c r="V124" s="2345"/>
      <c r="W124" s="403"/>
    </row>
    <row r="125" spans="1:23" ht="29.45" customHeight="1">
      <c r="A125" s="2727"/>
      <c r="B125" s="2580"/>
      <c r="C125" s="2887"/>
      <c r="D125" s="1387" t="s">
        <v>246</v>
      </c>
      <c r="E125" s="1112"/>
      <c r="F125" s="1112"/>
      <c r="G125" s="1112"/>
      <c r="H125" s="1718"/>
      <c r="I125" s="1718"/>
      <c r="J125" s="1752"/>
      <c r="K125" s="1053"/>
      <c r="L125" s="1053"/>
      <c r="M125" s="1053"/>
      <c r="N125" s="2999"/>
      <c r="O125" s="2396"/>
      <c r="P125" s="2344"/>
      <c r="Q125" s="2344"/>
      <c r="R125" s="3153"/>
      <c r="S125" s="2342"/>
      <c r="T125" s="2342"/>
      <c r="U125" s="2345"/>
      <c r="V125" s="2345"/>
    </row>
    <row r="126" spans="1:23" ht="40.5" customHeight="1">
      <c r="A126" s="2807"/>
      <c r="B126" s="2580"/>
      <c r="C126" s="2887"/>
      <c r="D126" s="1087" t="s">
        <v>1076</v>
      </c>
      <c r="E126" s="1088">
        <f>E123</f>
        <v>0</v>
      </c>
      <c r="F126" s="1088">
        <f t="shared" ref="F126:H126" si="59">F123</f>
        <v>0</v>
      </c>
      <c r="G126" s="1088">
        <f t="shared" si="59"/>
        <v>0</v>
      </c>
      <c r="H126" s="1059">
        <f t="shared" si="59"/>
        <v>0</v>
      </c>
      <c r="I126" s="1059"/>
      <c r="J126" s="1704"/>
      <c r="K126" s="1059"/>
      <c r="L126" s="1059"/>
      <c r="M126" s="1059"/>
      <c r="N126" s="3000"/>
      <c r="O126" s="2396"/>
      <c r="P126" s="2342"/>
      <c r="Q126" s="2342"/>
      <c r="R126" s="2992"/>
      <c r="S126" s="2342"/>
      <c r="T126" s="2342"/>
      <c r="U126" s="2344"/>
      <c r="V126" s="2345"/>
    </row>
    <row r="127" spans="1:23" ht="28.5" customHeight="1">
      <c r="A127" s="2739" t="s">
        <v>3565</v>
      </c>
      <c r="B127" s="2366" t="s">
        <v>3566</v>
      </c>
      <c r="C127" s="2392">
        <v>188711925</v>
      </c>
      <c r="D127" s="1035" t="s">
        <v>471</v>
      </c>
      <c r="E127" s="1051"/>
      <c r="F127" s="1051"/>
      <c r="G127" s="1051"/>
      <c r="H127" s="1718"/>
      <c r="I127" s="1661"/>
      <c r="J127" s="1752"/>
      <c r="K127" s="1718"/>
      <c r="L127" s="1718"/>
      <c r="M127" s="1718"/>
      <c r="N127" s="2998" t="s">
        <v>2793</v>
      </c>
      <c r="O127" s="2395" t="s">
        <v>3786</v>
      </c>
      <c r="P127" s="2344" t="s">
        <v>2792</v>
      </c>
      <c r="Q127" s="2344" t="s">
        <v>3785</v>
      </c>
      <c r="R127" s="3152" t="s">
        <v>324</v>
      </c>
      <c r="S127" s="2342" t="s">
        <v>434</v>
      </c>
      <c r="T127" s="2342" t="s">
        <v>324</v>
      </c>
      <c r="U127" s="2343" t="s">
        <v>324</v>
      </c>
      <c r="V127" s="2345"/>
      <c r="W127" s="403" t="s">
        <v>2779</v>
      </c>
    </row>
    <row r="128" spans="1:23" ht="36.6" customHeight="1">
      <c r="A128" s="2739"/>
      <c r="B128" s="2366"/>
      <c r="C128" s="2392"/>
      <c r="D128" s="1050" t="s">
        <v>2928</v>
      </c>
      <c r="E128" s="1112"/>
      <c r="F128" s="1112"/>
      <c r="G128" s="1112"/>
      <c r="H128" s="1718"/>
      <c r="I128" s="1661"/>
      <c r="J128" s="1752"/>
      <c r="K128" s="1718"/>
      <c r="L128" s="1718"/>
      <c r="M128" s="1718"/>
      <c r="N128" s="2999"/>
      <c r="O128" s="2395"/>
      <c r="P128" s="2344"/>
      <c r="Q128" s="2344"/>
      <c r="R128" s="3153"/>
      <c r="S128" s="2342"/>
      <c r="T128" s="2342"/>
      <c r="U128" s="2345"/>
      <c r="V128" s="2345"/>
      <c r="W128" s="403"/>
    </row>
    <row r="129" spans="1:22" ht="37.9" customHeight="1">
      <c r="A129" s="2739"/>
      <c r="B129" s="2366"/>
      <c r="C129" s="2392"/>
      <c r="D129" s="1035" t="s">
        <v>246</v>
      </c>
      <c r="E129" s="1112"/>
      <c r="F129" s="1112"/>
      <c r="G129" s="1112"/>
      <c r="H129" s="1718">
        <v>73.212000000000003</v>
      </c>
      <c r="I129" s="1661">
        <f t="shared" ref="I129:I130" si="60">K129/H129-1</f>
        <v>-2.9093591214554015E-3</v>
      </c>
      <c r="J129" s="1752">
        <f>SUM(J132,J136)</f>
        <v>70.612000000000009</v>
      </c>
      <c r="K129" s="1718">
        <f t="shared" ref="K129" si="61">SUM(K132,K136)</f>
        <v>72.999000000000009</v>
      </c>
      <c r="L129" s="1718"/>
      <c r="M129" s="1718"/>
      <c r="N129" s="2999"/>
      <c r="O129" s="2396"/>
      <c r="P129" s="2344"/>
      <c r="Q129" s="2344"/>
      <c r="R129" s="3153"/>
      <c r="S129" s="2342"/>
      <c r="T129" s="2342"/>
      <c r="U129" s="2345"/>
      <c r="V129" s="2345"/>
    </row>
    <row r="130" spans="1:22" ht="40.5" customHeight="1">
      <c r="A130" s="2739"/>
      <c r="B130" s="2366"/>
      <c r="C130" s="2392"/>
      <c r="D130" s="1056" t="s">
        <v>1076</v>
      </c>
      <c r="E130" s="1088">
        <f>E127</f>
        <v>0</v>
      </c>
      <c r="F130" s="1088">
        <f t="shared" ref="F130:G130" si="62">F127</f>
        <v>0</v>
      </c>
      <c r="G130" s="1088">
        <f t="shared" si="62"/>
        <v>0</v>
      </c>
      <c r="H130" s="1059">
        <f>H129</f>
        <v>73.212000000000003</v>
      </c>
      <c r="I130" s="1060">
        <f t="shared" si="60"/>
        <v>-2.9093591214554015E-3</v>
      </c>
      <c r="J130" s="1704">
        <f t="shared" ref="J130:M130" si="63">J129</f>
        <v>70.612000000000009</v>
      </c>
      <c r="K130" s="1059">
        <f t="shared" si="63"/>
        <v>72.999000000000009</v>
      </c>
      <c r="L130" s="1059">
        <f t="shared" si="63"/>
        <v>0</v>
      </c>
      <c r="M130" s="1059">
        <f t="shared" si="63"/>
        <v>0</v>
      </c>
      <c r="N130" s="3000"/>
      <c r="O130" s="2396"/>
      <c r="P130" s="2342"/>
      <c r="Q130" s="2342"/>
      <c r="R130" s="2992"/>
      <c r="S130" s="2342"/>
      <c r="T130" s="2342"/>
      <c r="U130" s="2344"/>
      <c r="V130" s="2345"/>
    </row>
    <row r="131" spans="1:22" ht="25.9" hidden="1" customHeight="1">
      <c r="A131" s="3050"/>
      <c r="B131" s="2784" t="s">
        <v>3472</v>
      </c>
      <c r="C131" s="2786"/>
      <c r="D131" s="1417" t="s">
        <v>471</v>
      </c>
      <c r="E131" s="1120"/>
      <c r="F131" s="1120"/>
      <c r="G131" s="1120"/>
      <c r="H131" s="989"/>
      <c r="I131" s="989"/>
      <c r="J131" s="1068"/>
      <c r="K131" s="989"/>
      <c r="L131" s="989"/>
      <c r="M131" s="989"/>
      <c r="N131" s="3017"/>
      <c r="O131" s="3020"/>
      <c r="P131" s="2744"/>
      <c r="Q131" s="2744"/>
      <c r="R131" s="3092"/>
      <c r="S131" s="2784"/>
      <c r="T131" s="2784"/>
      <c r="U131" s="1011"/>
      <c r="V131" s="2345"/>
    </row>
    <row r="132" spans="1:22" ht="25.5" hidden="1" customHeight="1">
      <c r="A132" s="3050"/>
      <c r="B132" s="2784"/>
      <c r="C132" s="2786"/>
      <c r="D132" s="1417" t="s">
        <v>246</v>
      </c>
      <c r="E132" s="1120">
        <v>0</v>
      </c>
      <c r="F132" s="1120"/>
      <c r="G132" s="1120">
        <v>400</v>
      </c>
      <c r="H132" s="989"/>
      <c r="I132" s="989"/>
      <c r="J132" s="1068">
        <v>68.224000000000004</v>
      </c>
      <c r="K132" s="989">
        <v>68.224000000000004</v>
      </c>
      <c r="L132" s="989"/>
      <c r="M132" s="989"/>
      <c r="N132" s="3018"/>
      <c r="O132" s="3020"/>
      <c r="P132" s="2744"/>
      <c r="Q132" s="2744"/>
      <c r="R132" s="3092"/>
      <c r="S132" s="2784"/>
      <c r="T132" s="2784"/>
      <c r="U132" s="2743"/>
      <c r="V132" s="2345"/>
    </row>
    <row r="133" spans="1:22" ht="32.450000000000003" hidden="1" customHeight="1">
      <c r="A133" s="3050"/>
      <c r="B133" s="2784"/>
      <c r="C133" s="2786"/>
      <c r="D133" s="1417" t="s">
        <v>413</v>
      </c>
      <c r="E133" s="1120"/>
      <c r="F133" s="1120"/>
      <c r="G133" s="1120"/>
      <c r="H133" s="989"/>
      <c r="I133" s="989"/>
      <c r="J133" s="1068"/>
      <c r="K133" s="989"/>
      <c r="L133" s="989"/>
      <c r="M133" s="989"/>
      <c r="N133" s="3018"/>
      <c r="O133" s="3020"/>
      <c r="P133" s="2744"/>
      <c r="Q133" s="2744"/>
      <c r="R133" s="3092"/>
      <c r="S133" s="2784"/>
      <c r="T133" s="2784"/>
      <c r="U133" s="3128"/>
      <c r="V133" s="2345"/>
    </row>
    <row r="134" spans="1:22" ht="26.25" hidden="1" customHeight="1">
      <c r="A134" s="3050"/>
      <c r="B134" s="2784"/>
      <c r="C134" s="2786"/>
      <c r="D134" s="1022" t="s">
        <v>1076</v>
      </c>
      <c r="E134" s="1120">
        <f>SUM(E131:E131)</f>
        <v>0</v>
      </c>
      <c r="F134" s="1120">
        <f t="shared" ref="F134" si="64">SUM(F131:F131)</f>
        <v>0</v>
      </c>
      <c r="G134" s="1120">
        <f>SUM(G131:G132)</f>
        <v>400</v>
      </c>
      <c r="H134" s="989"/>
      <c r="I134" s="989"/>
      <c r="J134" s="1068">
        <f>SUM(J131,J132,J133)</f>
        <v>68.224000000000004</v>
      </c>
      <c r="K134" s="989">
        <f>SUM(K131,K132,K133)</f>
        <v>68.224000000000004</v>
      </c>
      <c r="L134" s="989">
        <f t="shared" ref="L134" si="65">SUM(L131,L132,L133)</f>
        <v>0</v>
      </c>
      <c r="M134" s="989">
        <f t="shared" ref="M134" si="66">SUM(M131,M132,M133)</f>
        <v>0</v>
      </c>
      <c r="N134" s="3019"/>
      <c r="O134" s="3021"/>
      <c r="P134" s="2784"/>
      <c r="Q134" s="2784"/>
      <c r="R134" s="3093"/>
      <c r="S134" s="2784"/>
      <c r="T134" s="2784"/>
      <c r="U134" s="2744"/>
      <c r="V134" s="2345"/>
    </row>
    <row r="135" spans="1:22" ht="25.9" hidden="1" customHeight="1">
      <c r="A135" s="3032"/>
      <c r="B135" s="3036" t="s">
        <v>2703</v>
      </c>
      <c r="C135" s="3037"/>
      <c r="D135" s="1721" t="s">
        <v>471</v>
      </c>
      <c r="E135" s="1722"/>
      <c r="F135" s="1722"/>
      <c r="G135" s="1722"/>
      <c r="H135" s="1766"/>
      <c r="I135" s="1725"/>
      <c r="J135" s="1724"/>
      <c r="K135" s="1725"/>
      <c r="L135" s="1725"/>
      <c r="M135" s="1725"/>
      <c r="N135" s="3039"/>
      <c r="O135" s="3042"/>
      <c r="P135" s="3036"/>
      <c r="Q135" s="3036"/>
      <c r="R135" s="3080"/>
      <c r="S135" s="3009"/>
      <c r="T135" s="3009"/>
      <c r="U135" s="1726"/>
      <c r="V135" s="2345"/>
    </row>
    <row r="136" spans="1:22" ht="24.75" hidden="1" customHeight="1">
      <c r="A136" s="3032"/>
      <c r="B136" s="3036"/>
      <c r="C136" s="3037"/>
      <c r="D136" s="1721" t="s">
        <v>246</v>
      </c>
      <c r="E136" s="1722">
        <v>0</v>
      </c>
      <c r="F136" s="1722"/>
      <c r="G136" s="1722">
        <v>400</v>
      </c>
      <c r="H136" s="1725"/>
      <c r="I136" s="1725"/>
      <c r="J136" s="1724">
        <v>2.3879999999999999</v>
      </c>
      <c r="K136" s="1725">
        <v>4.7750000000000004</v>
      </c>
      <c r="L136" s="1725"/>
      <c r="M136" s="1725"/>
      <c r="N136" s="3040"/>
      <c r="O136" s="3042"/>
      <c r="P136" s="3036"/>
      <c r="Q136" s="3036"/>
      <c r="R136" s="3080"/>
      <c r="S136" s="3009"/>
      <c r="T136" s="3009"/>
      <c r="U136" s="3129"/>
      <c r="V136" s="2345"/>
    </row>
    <row r="137" spans="1:22" ht="32.450000000000003" hidden="1" customHeight="1">
      <c r="A137" s="3032"/>
      <c r="B137" s="3036"/>
      <c r="C137" s="3037"/>
      <c r="D137" s="1721" t="s">
        <v>413</v>
      </c>
      <c r="E137" s="1722"/>
      <c r="F137" s="1722"/>
      <c r="G137" s="1722"/>
      <c r="H137" s="1725"/>
      <c r="I137" s="1725"/>
      <c r="J137" s="1724"/>
      <c r="K137" s="1725"/>
      <c r="L137" s="1725"/>
      <c r="M137" s="1725"/>
      <c r="N137" s="3040"/>
      <c r="O137" s="3042"/>
      <c r="P137" s="3036"/>
      <c r="Q137" s="3036"/>
      <c r="R137" s="3080"/>
      <c r="S137" s="3009"/>
      <c r="T137" s="3009"/>
      <c r="U137" s="3130"/>
      <c r="V137" s="2345"/>
    </row>
    <row r="138" spans="1:22" ht="25.5" hidden="1" customHeight="1">
      <c r="A138" s="3033"/>
      <c r="B138" s="3009"/>
      <c r="C138" s="3038"/>
      <c r="D138" s="1727" t="s">
        <v>1076</v>
      </c>
      <c r="E138" s="1728">
        <f>SUM(E135:E135)</f>
        <v>0</v>
      </c>
      <c r="F138" s="1728">
        <f t="shared" ref="F138" si="67">SUM(F135:F135)</f>
        <v>0</v>
      </c>
      <c r="G138" s="1728">
        <f>SUM(G135:G136)</f>
        <v>400</v>
      </c>
      <c r="H138" s="1725"/>
      <c r="I138" s="1725"/>
      <c r="J138" s="1724">
        <f>SUM(J135,J136,J137)</f>
        <v>2.3879999999999999</v>
      </c>
      <c r="K138" s="1725">
        <f>SUM(K135,K136,K137)</f>
        <v>4.7750000000000004</v>
      </c>
      <c r="L138" s="1725"/>
      <c r="M138" s="1725"/>
      <c r="N138" s="3041"/>
      <c r="O138" s="3043"/>
      <c r="P138" s="3009"/>
      <c r="Q138" s="3009"/>
      <c r="R138" s="3081"/>
      <c r="S138" s="3009"/>
      <c r="T138" s="3009"/>
      <c r="U138" s="3036"/>
      <c r="V138" s="2345"/>
    </row>
    <row r="139" spans="1:22" ht="63.75" customHeight="1">
      <c r="A139" s="2807" t="s">
        <v>3567</v>
      </c>
      <c r="B139" s="3044" t="s">
        <v>3086</v>
      </c>
      <c r="C139" s="2706">
        <v>188711925</v>
      </c>
      <c r="D139" s="1157" t="s">
        <v>471</v>
      </c>
      <c r="E139" s="1112"/>
      <c r="F139" s="1112"/>
      <c r="G139" s="1112"/>
      <c r="H139" s="1162"/>
      <c r="I139" s="1390"/>
      <c r="J139" s="1158"/>
      <c r="K139" s="1162"/>
      <c r="L139" s="1162"/>
      <c r="M139" s="1162"/>
      <c r="N139" s="2694" t="s">
        <v>2362</v>
      </c>
      <c r="O139" s="2349" t="s">
        <v>3790</v>
      </c>
      <c r="P139" s="2343" t="s">
        <v>3087</v>
      </c>
      <c r="Q139" s="947" t="s">
        <v>3478</v>
      </c>
      <c r="R139" s="1460"/>
      <c r="S139" s="947" t="s">
        <v>433</v>
      </c>
      <c r="T139" s="947" t="s">
        <v>434</v>
      </c>
      <c r="U139" s="1460" t="s">
        <v>434</v>
      </c>
      <c r="V139" s="2345"/>
    </row>
    <row r="140" spans="1:22" ht="42.75" customHeight="1">
      <c r="A140" s="2745"/>
      <c r="B140" s="3045"/>
      <c r="C140" s="2706"/>
      <c r="D140" s="1767" t="s">
        <v>2928</v>
      </c>
      <c r="E140" s="1051"/>
      <c r="F140" s="1051"/>
      <c r="G140" s="1051"/>
      <c r="H140" s="1053"/>
      <c r="I140" s="1054"/>
      <c r="J140" s="948"/>
      <c r="K140" s="1053"/>
      <c r="L140" s="1053"/>
      <c r="M140" s="1053"/>
      <c r="N140" s="2695"/>
      <c r="O140" s="2363"/>
      <c r="P140" s="2345"/>
      <c r="Q140" s="947" t="s">
        <v>3479</v>
      </c>
      <c r="R140" s="1460"/>
      <c r="S140" s="947" t="s">
        <v>434</v>
      </c>
      <c r="T140" s="947" t="s">
        <v>434</v>
      </c>
      <c r="U140" s="1460" t="s">
        <v>1470</v>
      </c>
      <c r="V140" s="2345"/>
    </row>
    <row r="141" spans="1:22" ht="34.15" customHeight="1">
      <c r="A141" s="2745"/>
      <c r="B141" s="3045"/>
      <c r="C141" s="2706"/>
      <c r="D141" s="1156" t="s">
        <v>246</v>
      </c>
      <c r="E141" s="1051"/>
      <c r="F141" s="1051"/>
      <c r="G141" s="1051"/>
      <c r="H141" s="1053">
        <v>0</v>
      </c>
      <c r="I141" s="1054"/>
      <c r="J141" s="948">
        <f>SUM(J144,J148,J152)</f>
        <v>83.182999999999993</v>
      </c>
      <c r="K141" s="1053">
        <f t="shared" ref="K141:M141" si="68">SUM(K144,K148,K152)</f>
        <v>83.182999999999993</v>
      </c>
      <c r="L141" s="1053">
        <f t="shared" si="68"/>
        <v>136.905</v>
      </c>
      <c r="M141" s="1053">
        <f t="shared" si="68"/>
        <v>56.322000000000003</v>
      </c>
      <c r="N141" s="2695"/>
      <c r="O141" s="2363"/>
      <c r="P141" s="2345"/>
      <c r="Q141" s="2342" t="s">
        <v>3088</v>
      </c>
      <c r="R141" s="2342" t="s">
        <v>434</v>
      </c>
      <c r="S141" s="2342" t="s">
        <v>434</v>
      </c>
      <c r="T141" s="2342" t="s">
        <v>434</v>
      </c>
      <c r="U141" s="3159" t="s">
        <v>3480</v>
      </c>
      <c r="V141" s="2345"/>
    </row>
    <row r="142" spans="1:22" ht="58.5" customHeight="1">
      <c r="A142" s="2746"/>
      <c r="B142" s="3046"/>
      <c r="C142" s="2706"/>
      <c r="D142" s="1629" t="s">
        <v>1076</v>
      </c>
      <c r="E142" s="1057"/>
      <c r="F142" s="1057"/>
      <c r="G142" s="1057"/>
      <c r="H142" s="1059">
        <f>H141</f>
        <v>0</v>
      </c>
      <c r="I142" s="1060"/>
      <c r="J142" s="1704">
        <f>J141</f>
        <v>83.182999999999993</v>
      </c>
      <c r="K142" s="1059">
        <f>K141</f>
        <v>83.182999999999993</v>
      </c>
      <c r="L142" s="1059">
        <f>L141</f>
        <v>136.905</v>
      </c>
      <c r="M142" s="1059">
        <f>M141</f>
        <v>56.322000000000003</v>
      </c>
      <c r="N142" s="2696"/>
      <c r="O142" s="2350"/>
      <c r="P142" s="2344"/>
      <c r="Q142" s="2342"/>
      <c r="R142" s="2342"/>
      <c r="S142" s="2342"/>
      <c r="T142" s="2342"/>
      <c r="U142" s="3159"/>
      <c r="V142" s="2344"/>
    </row>
    <row r="143" spans="1:22" ht="30" hidden="1" customHeight="1">
      <c r="A143" s="3113"/>
      <c r="B143" s="2606" t="s">
        <v>3468</v>
      </c>
      <c r="C143" s="3116"/>
      <c r="D143" s="608" t="s">
        <v>471</v>
      </c>
      <c r="E143" s="609"/>
      <c r="F143" s="609"/>
      <c r="G143" s="609"/>
      <c r="H143" s="624"/>
      <c r="I143" s="514"/>
      <c r="J143" s="515"/>
      <c r="K143" s="514"/>
      <c r="L143" s="514"/>
      <c r="M143" s="514"/>
      <c r="N143" s="3118" t="s">
        <v>2369</v>
      </c>
      <c r="O143" s="3121" t="s">
        <v>3473</v>
      </c>
      <c r="P143" s="3169"/>
      <c r="Q143" s="3170"/>
      <c r="R143" s="3170"/>
      <c r="S143" s="3170"/>
      <c r="T143" s="3170"/>
      <c r="U143" s="3170"/>
      <c r="V143" s="3171"/>
    </row>
    <row r="144" spans="1:22" ht="32.450000000000003" hidden="1" customHeight="1">
      <c r="A144" s="3113"/>
      <c r="B144" s="2606"/>
      <c r="C144" s="3116"/>
      <c r="D144" s="608" t="s">
        <v>246</v>
      </c>
      <c r="E144" s="609">
        <v>0</v>
      </c>
      <c r="F144" s="609"/>
      <c r="G144" s="609">
        <v>400</v>
      </c>
      <c r="H144" s="514"/>
      <c r="I144" s="514"/>
      <c r="J144" s="515">
        <v>60.334000000000003</v>
      </c>
      <c r="K144" s="513">
        <v>60.334000000000003</v>
      </c>
      <c r="L144" s="513">
        <v>100.556</v>
      </c>
      <c r="M144" s="513">
        <v>40.222000000000001</v>
      </c>
      <c r="N144" s="3119"/>
      <c r="O144" s="3121"/>
      <c r="P144" s="3172"/>
      <c r="Q144" s="3173"/>
      <c r="R144" s="3173"/>
      <c r="S144" s="3173"/>
      <c r="T144" s="3173"/>
      <c r="U144" s="3173"/>
      <c r="V144" s="3174"/>
    </row>
    <row r="145" spans="1:84" ht="32.450000000000003" hidden="1" customHeight="1">
      <c r="A145" s="3113"/>
      <c r="B145" s="2606"/>
      <c r="C145" s="3116"/>
      <c r="D145" s="608" t="s">
        <v>413</v>
      </c>
      <c r="E145" s="609"/>
      <c r="F145" s="609"/>
      <c r="G145" s="609"/>
      <c r="H145" s="514"/>
      <c r="I145" s="514"/>
      <c r="J145" s="515"/>
      <c r="K145" s="513"/>
      <c r="L145" s="513"/>
      <c r="M145" s="513"/>
      <c r="N145" s="3119"/>
      <c r="O145" s="3121"/>
      <c r="P145" s="3172"/>
      <c r="Q145" s="3173"/>
      <c r="R145" s="3173"/>
      <c r="S145" s="3173"/>
      <c r="T145" s="3173"/>
      <c r="U145" s="3173"/>
      <c r="V145" s="3174"/>
    </row>
    <row r="146" spans="1:84" ht="48" hidden="1" customHeight="1">
      <c r="A146" s="3114"/>
      <c r="B146" s="3115"/>
      <c r="C146" s="3117"/>
      <c r="D146" s="610" t="s">
        <v>1076</v>
      </c>
      <c r="E146" s="534">
        <f>SUM(E143:E143)</f>
        <v>0</v>
      </c>
      <c r="F146" s="534">
        <f t="shared" ref="F146" si="69">SUM(F143:F143)</f>
        <v>0</v>
      </c>
      <c r="G146" s="534">
        <f>SUM(G143:G144)</f>
        <v>400</v>
      </c>
      <c r="H146" s="514"/>
      <c r="I146" s="514"/>
      <c r="J146" s="515">
        <f>201.66333*30%</f>
        <v>60.498998999999998</v>
      </c>
      <c r="K146" s="513"/>
      <c r="L146" s="513">
        <f>201.66333*50%</f>
        <v>100.831665</v>
      </c>
      <c r="M146" s="513">
        <f>201.66333*20%</f>
        <v>40.332666000000003</v>
      </c>
      <c r="N146" s="3120"/>
      <c r="O146" s="3122"/>
      <c r="P146" s="3172"/>
      <c r="Q146" s="3173"/>
      <c r="R146" s="3173"/>
      <c r="S146" s="3173"/>
      <c r="T146" s="3173"/>
      <c r="U146" s="3173"/>
      <c r="V146" s="3174"/>
    </row>
    <row r="147" spans="1:84" s="618" customFormat="1" ht="32.25" hidden="1" customHeight="1">
      <c r="A147" s="3105"/>
      <c r="B147" s="3123" t="s">
        <v>3472</v>
      </c>
      <c r="C147" s="615"/>
      <c r="D147" s="619" t="s">
        <v>471</v>
      </c>
      <c r="E147" s="616"/>
      <c r="F147" s="616"/>
      <c r="G147" s="616"/>
      <c r="H147" s="617"/>
      <c r="I147" s="617"/>
      <c r="J147" s="708"/>
      <c r="K147" s="671"/>
      <c r="L147" s="671"/>
      <c r="M147" s="671"/>
      <c r="N147" s="3108" t="s">
        <v>2369</v>
      </c>
      <c r="O147" s="3111" t="s">
        <v>3474</v>
      </c>
      <c r="P147" s="3172"/>
      <c r="Q147" s="3173"/>
      <c r="R147" s="3173"/>
      <c r="S147" s="3173"/>
      <c r="T147" s="3173"/>
      <c r="U147" s="3173"/>
      <c r="V147" s="3174"/>
      <c r="X147" s="236"/>
      <c r="Y147" s="236"/>
      <c r="Z147" s="236"/>
      <c r="AA147" s="236"/>
      <c r="AB147" s="236"/>
      <c r="AC147" s="236"/>
      <c r="AD147" s="236"/>
      <c r="AE147" s="236"/>
      <c r="AF147" s="236"/>
      <c r="AG147" s="236"/>
      <c r="AH147" s="236"/>
      <c r="AI147" s="236"/>
      <c r="AJ147" s="236"/>
      <c r="AK147" s="236"/>
      <c r="AL147" s="236"/>
      <c r="AM147" s="236"/>
      <c r="AN147" s="236"/>
      <c r="AO147" s="236"/>
      <c r="AP147" s="236"/>
      <c r="AQ147" s="236"/>
      <c r="AR147" s="236"/>
      <c r="AS147" s="236"/>
      <c r="AT147" s="236"/>
      <c r="AU147" s="236"/>
      <c r="AV147" s="236"/>
      <c r="AW147" s="236"/>
      <c r="AX147" s="236"/>
      <c r="AY147" s="236"/>
      <c r="AZ147" s="236"/>
      <c r="BA147" s="236"/>
      <c r="BB147" s="236"/>
      <c r="BC147" s="236"/>
      <c r="BD147" s="236"/>
      <c r="BE147" s="236"/>
      <c r="BF147" s="236"/>
      <c r="BG147" s="236"/>
      <c r="BH147" s="236"/>
      <c r="BI147" s="236"/>
      <c r="BJ147" s="236"/>
      <c r="BK147" s="236"/>
      <c r="BL147" s="236"/>
      <c r="BM147" s="236"/>
      <c r="BN147" s="236"/>
      <c r="BO147" s="236"/>
      <c r="BP147" s="236"/>
      <c r="BQ147" s="236"/>
      <c r="BR147" s="236"/>
      <c r="BS147" s="236"/>
      <c r="BT147" s="236"/>
      <c r="BU147" s="236"/>
      <c r="BV147" s="236"/>
      <c r="BW147" s="236"/>
      <c r="BX147" s="236"/>
      <c r="BY147" s="236"/>
      <c r="BZ147" s="236"/>
      <c r="CA147" s="236"/>
      <c r="CB147" s="236"/>
      <c r="CC147" s="236"/>
      <c r="CD147" s="236"/>
      <c r="CE147" s="236"/>
      <c r="CF147" s="236"/>
    </row>
    <row r="148" spans="1:84" s="618" customFormat="1" ht="32.25" hidden="1" customHeight="1">
      <c r="A148" s="3106"/>
      <c r="B148" s="3124"/>
      <c r="C148" s="615"/>
      <c r="D148" s="619" t="s">
        <v>246</v>
      </c>
      <c r="E148" s="616"/>
      <c r="F148" s="616"/>
      <c r="G148" s="616"/>
      <c r="H148" s="617"/>
      <c r="I148" s="617"/>
      <c r="J148" s="708">
        <v>20.248999999999999</v>
      </c>
      <c r="K148" s="671">
        <v>20.248999999999999</v>
      </c>
      <c r="L148" s="671">
        <v>33.749000000000002</v>
      </c>
      <c r="M148" s="671">
        <v>13.5</v>
      </c>
      <c r="N148" s="3109"/>
      <c r="O148" s="3111"/>
      <c r="P148" s="3172"/>
      <c r="Q148" s="3173"/>
      <c r="R148" s="3173"/>
      <c r="S148" s="3173"/>
      <c r="T148" s="3173"/>
      <c r="U148" s="3173"/>
      <c r="V148" s="3174"/>
      <c r="X148" s="236"/>
      <c r="Y148" s="236"/>
      <c r="Z148" s="236"/>
      <c r="AA148" s="236"/>
      <c r="AB148" s="236"/>
      <c r="AC148" s="236"/>
      <c r="AD148" s="236"/>
      <c r="AE148" s="236"/>
      <c r="AF148" s="236"/>
      <c r="AG148" s="236"/>
      <c r="AH148" s="236"/>
      <c r="AI148" s="236"/>
      <c r="AJ148" s="236"/>
      <c r="AK148" s="236"/>
      <c r="AL148" s="236"/>
      <c r="AM148" s="236"/>
      <c r="AN148" s="236"/>
      <c r="AO148" s="236"/>
      <c r="AP148" s="236"/>
      <c r="AQ148" s="236"/>
      <c r="AR148" s="236"/>
      <c r="AS148" s="236"/>
      <c r="AT148" s="236"/>
      <c r="AU148" s="236"/>
      <c r="AV148" s="236"/>
      <c r="AW148" s="236"/>
      <c r="AX148" s="236"/>
      <c r="AY148" s="236"/>
      <c r="AZ148" s="236"/>
      <c r="BA148" s="236"/>
      <c r="BB148" s="236"/>
      <c r="BC148" s="236"/>
      <c r="BD148" s="236"/>
      <c r="BE148" s="236"/>
      <c r="BF148" s="236"/>
      <c r="BG148" s="236"/>
      <c r="BH148" s="236"/>
      <c r="BI148" s="236"/>
      <c r="BJ148" s="236"/>
      <c r="BK148" s="236"/>
      <c r="BL148" s="236"/>
      <c r="BM148" s="236"/>
      <c r="BN148" s="236"/>
      <c r="BO148" s="236"/>
      <c r="BP148" s="236"/>
      <c r="BQ148" s="236"/>
      <c r="BR148" s="236"/>
      <c r="BS148" s="236"/>
      <c r="BT148" s="236"/>
      <c r="BU148" s="236"/>
      <c r="BV148" s="236"/>
      <c r="BW148" s="236"/>
      <c r="BX148" s="236"/>
      <c r="BY148" s="236"/>
      <c r="BZ148" s="236"/>
      <c r="CA148" s="236"/>
      <c r="CB148" s="236"/>
      <c r="CC148" s="236"/>
      <c r="CD148" s="236"/>
      <c r="CE148" s="236"/>
      <c r="CF148" s="236"/>
    </row>
    <row r="149" spans="1:84" s="618" customFormat="1" ht="32.25" hidden="1" customHeight="1">
      <c r="A149" s="3106"/>
      <c r="B149" s="3124"/>
      <c r="C149" s="615"/>
      <c r="D149" s="619" t="s">
        <v>413</v>
      </c>
      <c r="E149" s="616"/>
      <c r="F149" s="616"/>
      <c r="G149" s="616"/>
      <c r="H149" s="617"/>
      <c r="I149" s="617"/>
      <c r="J149" s="708"/>
      <c r="K149" s="671"/>
      <c r="L149" s="671"/>
      <c r="M149" s="671"/>
      <c r="N149" s="3109"/>
      <c r="O149" s="3111"/>
      <c r="P149" s="3172"/>
      <c r="Q149" s="3173"/>
      <c r="R149" s="3173"/>
      <c r="S149" s="3173"/>
      <c r="T149" s="3173"/>
      <c r="U149" s="3173"/>
      <c r="V149" s="3174"/>
      <c r="X149" s="236"/>
      <c r="Y149" s="236"/>
      <c r="Z149" s="236"/>
      <c r="AA149" s="236"/>
      <c r="AB149" s="236"/>
      <c r="AC149" s="236"/>
      <c r="AD149" s="236"/>
      <c r="AE149" s="236"/>
      <c r="AF149" s="236"/>
      <c r="AG149" s="236"/>
      <c r="AH149" s="236"/>
      <c r="AI149" s="236"/>
      <c r="AJ149" s="236"/>
      <c r="AK149" s="236"/>
      <c r="AL149" s="236"/>
      <c r="AM149" s="236"/>
      <c r="AN149" s="236"/>
      <c r="AO149" s="236"/>
      <c r="AP149" s="236"/>
      <c r="AQ149" s="236"/>
      <c r="AR149" s="236"/>
      <c r="AS149" s="236"/>
      <c r="AT149" s="236"/>
      <c r="AU149" s="236"/>
      <c r="AV149" s="236"/>
      <c r="AW149" s="236"/>
      <c r="AX149" s="236"/>
      <c r="AY149" s="236"/>
      <c r="AZ149" s="236"/>
      <c r="BA149" s="236"/>
      <c r="BB149" s="236"/>
      <c r="BC149" s="236"/>
      <c r="BD149" s="236"/>
      <c r="BE149" s="236"/>
      <c r="BF149" s="236"/>
      <c r="BG149" s="236"/>
      <c r="BH149" s="236"/>
      <c r="BI149" s="236"/>
      <c r="BJ149" s="236"/>
      <c r="BK149" s="236"/>
      <c r="BL149" s="236"/>
      <c r="BM149" s="236"/>
      <c r="BN149" s="236"/>
      <c r="BO149" s="236"/>
      <c r="BP149" s="236"/>
      <c r="BQ149" s="236"/>
      <c r="BR149" s="236"/>
      <c r="BS149" s="236"/>
      <c r="BT149" s="236"/>
      <c r="BU149" s="236"/>
      <c r="BV149" s="236"/>
      <c r="BW149" s="236"/>
      <c r="BX149" s="236"/>
      <c r="BY149" s="236"/>
      <c r="BZ149" s="236"/>
      <c r="CA149" s="236"/>
      <c r="CB149" s="236"/>
      <c r="CC149" s="236"/>
      <c r="CD149" s="236"/>
      <c r="CE149" s="236"/>
      <c r="CF149" s="236"/>
    </row>
    <row r="150" spans="1:84" s="618" customFormat="1" ht="32.25" hidden="1" customHeight="1">
      <c r="A150" s="3107"/>
      <c r="B150" s="3125"/>
      <c r="C150" s="615"/>
      <c r="D150" s="619" t="s">
        <v>1076</v>
      </c>
      <c r="E150" s="616"/>
      <c r="F150" s="616"/>
      <c r="G150" s="616"/>
      <c r="H150" s="617"/>
      <c r="I150" s="617"/>
      <c r="J150" s="708">
        <f>66.94825*30%</f>
        <v>20.084475000000001</v>
      </c>
      <c r="K150" s="671">
        <f t="shared" ref="K150:M150" si="70">66.94825*30%</f>
        <v>20.084475000000001</v>
      </c>
      <c r="L150" s="671">
        <f t="shared" si="70"/>
        <v>20.084475000000001</v>
      </c>
      <c r="M150" s="671">
        <f t="shared" si="70"/>
        <v>20.084475000000001</v>
      </c>
      <c r="N150" s="3110"/>
      <c r="O150" s="3112"/>
      <c r="P150" s="3172"/>
      <c r="Q150" s="3173"/>
      <c r="R150" s="3173"/>
      <c r="S150" s="3173"/>
      <c r="T150" s="3173"/>
      <c r="U150" s="3173"/>
      <c r="V150" s="3174"/>
      <c r="X150" s="236"/>
      <c r="Y150" s="236"/>
      <c r="Z150" s="236"/>
      <c r="AA150" s="236"/>
      <c r="AB150" s="236"/>
      <c r="AC150" s="236"/>
      <c r="AD150" s="236"/>
      <c r="AE150" s="236"/>
      <c r="AF150" s="236"/>
      <c r="AG150" s="236"/>
      <c r="AH150" s="236"/>
      <c r="AI150" s="236"/>
      <c r="AJ150" s="236"/>
      <c r="AK150" s="236"/>
      <c r="AL150" s="236"/>
      <c r="AM150" s="236"/>
      <c r="AN150" s="236"/>
      <c r="AO150" s="236"/>
      <c r="AP150" s="236"/>
      <c r="AQ150" s="236"/>
      <c r="AR150" s="236"/>
      <c r="AS150" s="236"/>
      <c r="AT150" s="236"/>
      <c r="AU150" s="236"/>
      <c r="AV150" s="236"/>
      <c r="AW150" s="236"/>
      <c r="AX150" s="236"/>
      <c r="AY150" s="236"/>
      <c r="AZ150" s="236"/>
      <c r="BA150" s="236"/>
      <c r="BB150" s="236"/>
      <c r="BC150" s="236"/>
      <c r="BD150" s="236"/>
      <c r="BE150" s="236"/>
      <c r="BF150" s="236"/>
      <c r="BG150" s="236"/>
      <c r="BH150" s="236"/>
      <c r="BI150" s="236"/>
      <c r="BJ150" s="236"/>
      <c r="BK150" s="236"/>
      <c r="BL150" s="236"/>
      <c r="BM150" s="236"/>
      <c r="BN150" s="236"/>
      <c r="BO150" s="236"/>
      <c r="BP150" s="236"/>
      <c r="BQ150" s="236"/>
      <c r="BR150" s="236"/>
      <c r="BS150" s="236"/>
      <c r="BT150" s="236"/>
      <c r="BU150" s="236"/>
      <c r="BV150" s="236"/>
      <c r="BW150" s="236"/>
      <c r="BX150" s="236"/>
      <c r="BY150" s="236"/>
      <c r="BZ150" s="236"/>
      <c r="CA150" s="236"/>
      <c r="CB150" s="236"/>
      <c r="CC150" s="236"/>
      <c r="CD150" s="236"/>
      <c r="CE150" s="236"/>
      <c r="CF150" s="236"/>
    </row>
    <row r="151" spans="1:84" ht="16.5" hidden="1" customHeight="1">
      <c r="A151" s="3094"/>
      <c r="B151" s="3096" t="s">
        <v>2703</v>
      </c>
      <c r="C151" s="3098"/>
      <c r="D151" s="611" t="s">
        <v>471</v>
      </c>
      <c r="E151" s="612"/>
      <c r="F151" s="612"/>
      <c r="G151" s="612"/>
      <c r="H151" s="613"/>
      <c r="I151" s="613"/>
      <c r="J151" s="709"/>
      <c r="K151" s="670"/>
      <c r="L151" s="670"/>
      <c r="M151" s="670"/>
      <c r="N151" s="3100" t="s">
        <v>2369</v>
      </c>
      <c r="O151" s="3103"/>
      <c r="P151" s="3172"/>
      <c r="Q151" s="3173"/>
      <c r="R151" s="3173"/>
      <c r="S151" s="3173"/>
      <c r="T151" s="3173"/>
      <c r="U151" s="3173"/>
      <c r="V151" s="3174"/>
    </row>
    <row r="152" spans="1:84" ht="18.75" hidden="1" customHeight="1">
      <c r="A152" s="3094"/>
      <c r="B152" s="3096"/>
      <c r="C152" s="3098"/>
      <c r="D152" s="611" t="s">
        <v>246</v>
      </c>
      <c r="E152" s="612">
        <v>0</v>
      </c>
      <c r="F152" s="612"/>
      <c r="G152" s="612">
        <v>400</v>
      </c>
      <c r="H152" s="613"/>
      <c r="I152" s="613"/>
      <c r="J152" s="709">
        <v>2.6</v>
      </c>
      <c r="K152" s="670">
        <v>2.6</v>
      </c>
      <c r="L152" s="670">
        <v>2.6</v>
      </c>
      <c r="M152" s="670">
        <v>2.6</v>
      </c>
      <c r="N152" s="3101"/>
      <c r="O152" s="3103"/>
      <c r="P152" s="3172"/>
      <c r="Q152" s="3173"/>
      <c r="R152" s="3173"/>
      <c r="S152" s="3173"/>
      <c r="T152" s="3173"/>
      <c r="U152" s="3173"/>
      <c r="V152" s="3174"/>
    </row>
    <row r="153" spans="1:84" ht="18.75" hidden="1" customHeight="1">
      <c r="A153" s="3094"/>
      <c r="B153" s="3096"/>
      <c r="C153" s="3098"/>
      <c r="D153" s="611" t="s">
        <v>413</v>
      </c>
      <c r="E153" s="612"/>
      <c r="F153" s="612"/>
      <c r="G153" s="612"/>
      <c r="H153" s="613"/>
      <c r="I153" s="613"/>
      <c r="J153" s="709"/>
      <c r="K153" s="670"/>
      <c r="L153" s="670"/>
      <c r="M153" s="670"/>
      <c r="N153" s="3101"/>
      <c r="O153" s="3103"/>
      <c r="P153" s="3172"/>
      <c r="Q153" s="3173"/>
      <c r="R153" s="3173"/>
      <c r="S153" s="3173"/>
      <c r="T153" s="3173"/>
      <c r="U153" s="3173"/>
      <c r="V153" s="3174"/>
    </row>
    <row r="154" spans="1:84" ht="12.75" hidden="1" customHeight="1">
      <c r="A154" s="3095"/>
      <c r="B154" s="3097"/>
      <c r="C154" s="3099"/>
      <c r="D154" s="1700" t="s">
        <v>1076</v>
      </c>
      <c r="E154" s="614">
        <f>SUM(E151:E151)</f>
        <v>0</v>
      </c>
      <c r="F154" s="614">
        <f t="shared" ref="F154" si="71">SUM(F151:F151)</f>
        <v>0</v>
      </c>
      <c r="G154" s="614">
        <f>SUM(G151:G152)</f>
        <v>400</v>
      </c>
      <c r="H154" s="613"/>
      <c r="I154" s="613"/>
      <c r="J154" s="709">
        <v>2.6</v>
      </c>
      <c r="K154" s="670"/>
      <c r="L154" s="670">
        <v>2.6</v>
      </c>
      <c r="M154" s="670">
        <v>2.6</v>
      </c>
      <c r="N154" s="3102"/>
      <c r="O154" s="3104"/>
      <c r="P154" s="3175"/>
      <c r="Q154" s="3176"/>
      <c r="R154" s="3176"/>
      <c r="S154" s="3176"/>
      <c r="T154" s="3176"/>
      <c r="U154" s="3176"/>
      <c r="V154" s="3177"/>
    </row>
    <row r="155" spans="1:84" ht="48.75" customHeight="1">
      <c r="A155" s="2624"/>
      <c r="B155" s="2624"/>
      <c r="C155" s="2624"/>
      <c r="D155" s="2624"/>
      <c r="E155" s="276" t="s">
        <v>1091</v>
      </c>
      <c r="F155" s="276"/>
      <c r="G155" s="276" t="str">
        <f>G10</f>
        <v>2024  m. išlaidų projektas (lėšų poreikis), tūkst. Eur</v>
      </c>
      <c r="H155" s="188" t="str">
        <f>H10</f>
        <v>2024  m.asignavimai ir kitos lėšos, tūkst. Eur</v>
      </c>
      <c r="I155" s="188"/>
      <c r="J155" s="712"/>
      <c r="K155" s="1768" t="str">
        <f>K10</f>
        <v>2025 m.asignavimai ir kitos lėšos, tūkst. Eur</v>
      </c>
      <c r="L155" s="186" t="str">
        <f>L10</f>
        <v>2026 m. asignavimai ir kitos lėšos, tūkst. Eur</v>
      </c>
      <c r="M155" s="186" t="s">
        <v>3097</v>
      </c>
      <c r="N155" s="567"/>
      <c r="O155" s="234"/>
      <c r="P155" s="235"/>
      <c r="Q155" s="235"/>
      <c r="R155" s="235"/>
      <c r="S155" s="235"/>
      <c r="T155" s="235"/>
    </row>
    <row r="156" spans="1:84" ht="39" customHeight="1">
      <c r="A156" s="237"/>
      <c r="B156" s="2573" t="s">
        <v>722</v>
      </c>
      <c r="C156" s="2573"/>
      <c r="D156" s="2573"/>
      <c r="E156" s="280" t="e">
        <f>SUM(E157:E164)</f>
        <v>#REF!</v>
      </c>
      <c r="F156" s="278" t="e">
        <f>H156/E156-1</f>
        <v>#REF!</v>
      </c>
      <c r="G156" s="280">
        <f t="shared" ref="G156" si="72">SUM(G157:G164)</f>
        <v>226.7</v>
      </c>
      <c r="H156" s="240">
        <f>H157+H160+H161+H162+H163+H164</f>
        <v>764.38000000000011</v>
      </c>
      <c r="I156" s="318">
        <f t="shared" ref="I156:I166" si="73">K156/H156-1</f>
        <v>1.3467865878228098</v>
      </c>
      <c r="J156" s="1701">
        <f>J157+J160+J161+J162+J163+J164+J158+J159</f>
        <v>1621.9134640000002</v>
      </c>
      <c r="K156" s="240">
        <f>K157+K160+K161+K162+K163+K164</f>
        <v>1793.8367319999998</v>
      </c>
      <c r="L156" s="240">
        <f>L157+L160+L161+L162+L163+L164</f>
        <v>770.04600000000005</v>
      </c>
      <c r="M156" s="240">
        <f>M157+M160+M161+M162+M163+M164</f>
        <v>405.98859800000008</v>
      </c>
      <c r="N156" s="238"/>
      <c r="O156" s="216"/>
      <c r="P156" s="216"/>
      <c r="Q156" s="216"/>
      <c r="R156" s="216"/>
      <c r="S156" s="216"/>
      <c r="T156" s="216"/>
      <c r="U156" s="216"/>
      <c r="V156" s="216"/>
    </row>
    <row r="157" spans="1:84" ht="42" customHeight="1">
      <c r="B157" s="2564" t="s">
        <v>2027</v>
      </c>
      <c r="C157" s="2564"/>
      <c r="D157" s="2564"/>
      <c r="E157" s="230">
        <f>SUM(E16,E22,E25,E27,E34,E39,E41,E58,E94,E114,E116,E120,E13)</f>
        <v>59.535000000000004</v>
      </c>
      <c r="F157" s="277">
        <f>H157/E157-1</f>
        <v>0.10691190056269395</v>
      </c>
      <c r="G157" s="230">
        <f>SUM(G16,G22,G25,G27,G34,G39,G41,G58,G94,G114,G116,G120,G13)</f>
        <v>20.7</v>
      </c>
      <c r="H157" s="225">
        <f>SUM(H16,H22,H27,H34,H39,H41,H58,H74,H89,H94,H116,H158)</f>
        <v>65.899999999999991</v>
      </c>
      <c r="I157" s="318">
        <f t="shared" si="73"/>
        <v>0.21755690440060715</v>
      </c>
      <c r="J157" s="620">
        <f>SUM(J16,J22,J27,J34,J39,J41,J58,J74,J89,J94,J116,J158,J19,J159)</f>
        <v>192.22473199999999</v>
      </c>
      <c r="K157" s="225">
        <f>SUM(K16,K22,K27,K34,K39,K41,K58,K74,K89,K116,K158,K19,K159)</f>
        <v>80.236999999999995</v>
      </c>
      <c r="L157" s="225">
        <f t="shared" ref="L157:M157" si="74">SUM(L16,L22,L27,L34,L39,L41,L58,L74,L89,L116,L158,L19,L159)</f>
        <v>52.849999999999994</v>
      </c>
      <c r="M157" s="225">
        <f t="shared" si="74"/>
        <v>45.299000000000007</v>
      </c>
      <c r="N157" s="231"/>
      <c r="O157" s="216"/>
      <c r="P157" s="216"/>
      <c r="Q157" s="216"/>
      <c r="R157" s="216"/>
      <c r="S157" s="216"/>
      <c r="T157" s="216"/>
      <c r="U157" s="216"/>
      <c r="V157" s="216"/>
    </row>
    <row r="158" spans="1:84" ht="32.450000000000003" hidden="1" customHeight="1">
      <c r="B158" s="2581" t="s">
        <v>3923</v>
      </c>
      <c r="C158" s="2582"/>
      <c r="D158" s="2583"/>
      <c r="E158" s="534"/>
      <c r="F158" s="901"/>
      <c r="G158" s="534"/>
      <c r="H158" s="513">
        <f>19.54-8.44</f>
        <v>11.1</v>
      </c>
      <c r="I158" s="322">
        <f t="shared" si="73"/>
        <v>7.2072072072072224E-2</v>
      </c>
      <c r="J158" s="515">
        <f>SUM(J13)</f>
        <v>20</v>
      </c>
      <c r="K158" s="513">
        <f t="shared" ref="K158:M158" si="75">SUM(K13)</f>
        <v>11.9</v>
      </c>
      <c r="L158" s="513">
        <f t="shared" si="75"/>
        <v>11.2</v>
      </c>
      <c r="M158" s="513">
        <f t="shared" si="75"/>
        <v>11.2</v>
      </c>
      <c r="N158" s="231"/>
      <c r="O158" s="216"/>
      <c r="P158" s="216"/>
      <c r="Q158" s="216"/>
      <c r="R158" s="216"/>
      <c r="S158" s="216"/>
      <c r="T158" s="216"/>
      <c r="U158" s="216"/>
      <c r="V158" s="216"/>
    </row>
    <row r="159" spans="1:84" ht="43.5" hidden="1" customHeight="1">
      <c r="B159" s="2581" t="s">
        <v>3568</v>
      </c>
      <c r="C159" s="2582"/>
      <c r="D159" s="2583"/>
      <c r="E159" s="534"/>
      <c r="F159" s="901"/>
      <c r="G159" s="534"/>
      <c r="H159" s="513"/>
      <c r="I159" s="322"/>
      <c r="J159" s="515">
        <f>SUM(J14)</f>
        <v>0</v>
      </c>
      <c r="K159" s="513">
        <f t="shared" ref="K159:M159" si="76">SUM(K14)</f>
        <v>13.407</v>
      </c>
      <c r="L159" s="513">
        <f t="shared" si="76"/>
        <v>0</v>
      </c>
      <c r="M159" s="513">
        <f t="shared" si="76"/>
        <v>0</v>
      </c>
      <c r="N159" s="231"/>
      <c r="O159" s="216"/>
      <c r="P159" s="216"/>
      <c r="Q159" s="216"/>
      <c r="R159" s="216"/>
      <c r="S159" s="216"/>
      <c r="T159" s="216"/>
      <c r="U159" s="216"/>
      <c r="V159" s="216"/>
    </row>
    <row r="160" spans="1:84" ht="31.9" customHeight="1">
      <c r="B160" s="2564" t="s">
        <v>724</v>
      </c>
      <c r="C160" s="2564"/>
      <c r="D160" s="2564"/>
      <c r="E160" s="230">
        <f>SUM(E28,E18,E37,)</f>
        <v>181</v>
      </c>
      <c r="F160" s="277">
        <f>H160/E160-1</f>
        <v>0.17038674033149181</v>
      </c>
      <c r="G160" s="230">
        <f>SUM(G28,G18,G37,)</f>
        <v>206</v>
      </c>
      <c r="H160" s="225">
        <f>SUM(H28,H18,H37,)</f>
        <v>211.84</v>
      </c>
      <c r="I160" s="318">
        <f t="shared" si="73"/>
        <v>5.211480362537757E-2</v>
      </c>
      <c r="J160" s="620">
        <f>SUM(J18,J28,J37,)</f>
        <v>210.35</v>
      </c>
      <c r="K160" s="225">
        <f t="shared" ref="K160:M160" si="77">SUM(K18,K28,K37,)</f>
        <v>222.88</v>
      </c>
      <c r="L160" s="225">
        <f>SUM(L18,L28,L37,)</f>
        <v>226.58</v>
      </c>
      <c r="M160" s="225">
        <f t="shared" si="77"/>
        <v>230.28000000000003</v>
      </c>
      <c r="N160" s="231"/>
      <c r="O160" s="216"/>
      <c r="P160" s="216"/>
      <c r="Q160" s="216"/>
      <c r="R160" s="216"/>
      <c r="S160" s="216"/>
      <c r="T160" s="216"/>
      <c r="U160" s="216"/>
      <c r="V160" s="216"/>
    </row>
    <row r="161" spans="1:22" ht="27.6" customHeight="1">
      <c r="B161" s="2564" t="s">
        <v>725</v>
      </c>
      <c r="C161" s="2564"/>
      <c r="D161" s="2564"/>
      <c r="E161" s="230">
        <v>0</v>
      </c>
      <c r="F161" s="277"/>
      <c r="G161" s="230">
        <v>0</v>
      </c>
      <c r="H161" s="225">
        <v>0</v>
      </c>
      <c r="I161" s="318"/>
      <c r="J161" s="620"/>
      <c r="K161" s="225">
        <v>0</v>
      </c>
      <c r="L161" s="225">
        <v>0</v>
      </c>
      <c r="M161" s="225">
        <v>0</v>
      </c>
      <c r="N161" s="231"/>
      <c r="O161" s="216"/>
      <c r="P161" s="216"/>
      <c r="Q161" s="216"/>
      <c r="R161" s="216"/>
      <c r="S161" s="216"/>
      <c r="T161" s="216"/>
      <c r="U161" s="216"/>
      <c r="V161" s="216"/>
    </row>
    <row r="162" spans="1:22" ht="29.45" customHeight="1">
      <c r="B162" s="2564" t="s">
        <v>2861</v>
      </c>
      <c r="C162" s="2564"/>
      <c r="D162" s="2564"/>
      <c r="E162" s="225" t="e">
        <f>SUM(E35,E43,E60,E76,E90,#REF!,E117,E129,E125,E114,)</f>
        <v>#REF!</v>
      </c>
      <c r="F162" s="277"/>
      <c r="G162" s="230">
        <v>0</v>
      </c>
      <c r="H162" s="225">
        <f>SUM(H43,H129,H35)</f>
        <v>478.2</v>
      </c>
      <c r="I162" s="318">
        <f t="shared" si="73"/>
        <v>2.0988492931827687</v>
      </c>
      <c r="J162" s="620">
        <f>SUM(J43,J60,J76,J90,J94,J11,J129,J141,)</f>
        <v>1199.3387320000002</v>
      </c>
      <c r="K162" s="225">
        <f>SUM(K43,K60,K76,K90,K94,K11,K129,K141,K44)</f>
        <v>1481.8697319999999</v>
      </c>
      <c r="L162" s="225">
        <f t="shared" ref="L162:M162" si="78">SUM(L43,L60,L76,L90,L94,L11,L129,L141,L44)</f>
        <v>490.61599999999999</v>
      </c>
      <c r="M162" s="225">
        <f t="shared" si="78"/>
        <v>130.40959800000002</v>
      </c>
      <c r="N162" s="231"/>
      <c r="O162" s="216"/>
      <c r="P162" s="216"/>
      <c r="Q162" s="216"/>
      <c r="R162" s="216"/>
      <c r="S162" s="216"/>
      <c r="T162" s="216"/>
      <c r="U162" s="216"/>
      <c r="V162" s="216"/>
    </row>
    <row r="163" spans="1:22" ht="27.6" customHeight="1">
      <c r="B163" s="2564" t="s">
        <v>726</v>
      </c>
      <c r="C163" s="2564"/>
      <c r="D163" s="2564"/>
      <c r="E163" s="230">
        <v>0</v>
      </c>
      <c r="F163" s="277"/>
      <c r="G163" s="230">
        <v>0</v>
      </c>
      <c r="H163" s="225">
        <v>0</v>
      </c>
      <c r="I163" s="318"/>
      <c r="J163" s="620"/>
      <c r="K163" s="225">
        <v>0</v>
      </c>
      <c r="L163" s="225">
        <v>0</v>
      </c>
      <c r="M163" s="225">
        <v>0</v>
      </c>
      <c r="N163" s="231"/>
      <c r="O163" s="216"/>
      <c r="P163" s="216"/>
      <c r="Q163" s="216"/>
      <c r="R163" s="216"/>
      <c r="S163" s="216"/>
      <c r="T163" s="216"/>
      <c r="U163" s="216"/>
      <c r="V163" s="216"/>
    </row>
    <row r="164" spans="1:22" ht="25.9" customHeight="1">
      <c r="B164" s="2564" t="s">
        <v>727</v>
      </c>
      <c r="C164" s="2564"/>
      <c r="D164" s="2564"/>
      <c r="E164" s="230">
        <v>0</v>
      </c>
      <c r="F164" s="277"/>
      <c r="G164" s="230">
        <v>0</v>
      </c>
      <c r="H164" s="225">
        <f>H14</f>
        <v>8.44</v>
      </c>
      <c r="I164" s="318">
        <f>K164/H164-1</f>
        <v>4.8578199052132787E-2</v>
      </c>
      <c r="J164" s="620">
        <f>SUM(J20,J42,J59,J75,J93,J113,J124,J128,J140,)</f>
        <v>0</v>
      </c>
      <c r="K164" s="225">
        <f>SUM(K20,K42,K59,K75,K93,K113,K124,K128,K140,)</f>
        <v>8.85</v>
      </c>
      <c r="L164" s="225">
        <f t="shared" ref="L164:M164" si="79">SUM(L20,L42,L59,L75,L93,L113,L124,L128,L140,)</f>
        <v>0</v>
      </c>
      <c r="M164" s="225">
        <f t="shared" si="79"/>
        <v>0</v>
      </c>
      <c r="N164" s="231"/>
      <c r="O164" s="216"/>
      <c r="P164" s="216"/>
      <c r="Q164" s="216"/>
      <c r="R164" s="216"/>
      <c r="S164" s="216"/>
      <c r="T164" s="216"/>
      <c r="U164" s="216"/>
      <c r="V164" s="216"/>
    </row>
    <row r="165" spans="1:22" ht="45.6" customHeight="1">
      <c r="A165" s="237"/>
      <c r="B165" s="2488" t="s">
        <v>728</v>
      </c>
      <c r="C165" s="2488"/>
      <c r="D165" s="2488"/>
      <c r="E165" s="230">
        <v>0</v>
      </c>
      <c r="F165" s="278"/>
      <c r="G165" s="230">
        <v>0</v>
      </c>
      <c r="H165" s="225">
        <f>SUM(H114)</f>
        <v>129.036</v>
      </c>
      <c r="I165" s="318">
        <f t="shared" si="73"/>
        <v>-1</v>
      </c>
      <c r="J165" s="620">
        <f>SUM(J115,J126)</f>
        <v>0</v>
      </c>
      <c r="K165" s="225">
        <f t="shared" ref="K165:M165" si="80">SUM(K115,K126)</f>
        <v>0</v>
      </c>
      <c r="L165" s="225">
        <f t="shared" si="80"/>
        <v>0</v>
      </c>
      <c r="M165" s="225">
        <f t="shared" si="80"/>
        <v>0</v>
      </c>
      <c r="N165" s="231"/>
      <c r="O165" s="216"/>
      <c r="P165" s="216"/>
      <c r="Q165" s="216"/>
      <c r="R165" s="216"/>
      <c r="S165" s="216"/>
      <c r="T165" s="216"/>
      <c r="U165" s="216"/>
      <c r="V165" s="216"/>
    </row>
    <row r="166" spans="1:22" ht="33" customHeight="1">
      <c r="B166" s="2488" t="s">
        <v>1092</v>
      </c>
      <c r="C166" s="2488"/>
      <c r="D166" s="2488"/>
      <c r="E166" s="279" t="e">
        <f>SUM(E156,E165)</f>
        <v>#REF!</v>
      </c>
      <c r="F166" s="278" t="e">
        <f>H166/E166-1</f>
        <v>#REF!</v>
      </c>
      <c r="G166" s="279">
        <f t="shared" ref="G166" si="81">SUM(G156,G165)</f>
        <v>226.7</v>
      </c>
      <c r="H166" s="240">
        <f>SUM(H156,H165)</f>
        <v>893.41600000000017</v>
      </c>
      <c r="I166" s="318">
        <f t="shared" si="73"/>
        <v>1.0078403923815999</v>
      </c>
      <c r="J166" s="669">
        <f>SUM(J156,J165)</f>
        <v>1621.9134640000002</v>
      </c>
      <c r="K166" s="240">
        <f>SUM(K156,K165)</f>
        <v>1793.8367319999998</v>
      </c>
      <c r="L166" s="240">
        <f>SUM(L156,L165)</f>
        <v>770.04600000000005</v>
      </c>
      <c r="M166" s="240">
        <f>SUM(M156,M165)</f>
        <v>405.98859800000008</v>
      </c>
      <c r="N166" s="238"/>
      <c r="O166" s="216"/>
      <c r="P166" s="216"/>
      <c r="Q166" s="216"/>
      <c r="R166" s="216"/>
      <c r="S166" s="216"/>
      <c r="T166" s="216"/>
      <c r="U166" s="216"/>
      <c r="V166" s="216"/>
    </row>
    <row r="167" spans="1:22" ht="27.6" customHeight="1">
      <c r="B167" s="2488" t="s">
        <v>2028</v>
      </c>
      <c r="C167" s="2488"/>
      <c r="D167" s="2488"/>
      <c r="E167" s="280">
        <v>0</v>
      </c>
      <c r="F167" s="277"/>
      <c r="G167" s="280">
        <v>0</v>
      </c>
      <c r="H167" s="240">
        <f>H79+H61</f>
        <v>0</v>
      </c>
      <c r="I167" s="318"/>
      <c r="J167" s="669">
        <f>SUM(J61,J79,)</f>
        <v>356.99400000000003</v>
      </c>
      <c r="K167" s="240">
        <f t="shared" ref="K167:M167" si="82">SUM(K61,K79,)</f>
        <v>356.99400000000003</v>
      </c>
      <c r="L167" s="240">
        <f t="shared" si="82"/>
        <v>186.71200000000002</v>
      </c>
      <c r="M167" s="240">
        <f t="shared" si="82"/>
        <v>2</v>
      </c>
      <c r="N167" s="238"/>
      <c r="O167" s="216"/>
      <c r="P167" s="216"/>
      <c r="Q167" s="216"/>
      <c r="R167" s="216"/>
      <c r="S167" s="216"/>
      <c r="T167" s="216"/>
      <c r="U167" s="216"/>
      <c r="V167" s="216"/>
    </row>
    <row r="168" spans="1:22" ht="35.450000000000003" customHeight="1">
      <c r="B168" s="2609" t="s">
        <v>729</v>
      </c>
      <c r="C168" s="2609"/>
      <c r="D168" s="2609"/>
      <c r="E168" s="280">
        <v>0</v>
      </c>
      <c r="F168" s="280"/>
      <c r="G168" s="280">
        <v>0</v>
      </c>
      <c r="H168" s="357">
        <v>2.71</v>
      </c>
      <c r="I168" s="357"/>
      <c r="J168" s="713">
        <f>J166/H166-1</f>
        <v>0.81540678026809443</v>
      </c>
      <c r="K168" s="357">
        <f>K166/H166-1</f>
        <v>1.0078403923815999</v>
      </c>
      <c r="L168" s="357">
        <f>L166/K166-1</f>
        <v>-0.57072681907820355</v>
      </c>
      <c r="M168" s="357">
        <f>M166/L166-1</f>
        <v>-0.47277357716292268</v>
      </c>
      <c r="N168" s="238"/>
      <c r="O168" s="216"/>
      <c r="P168" s="216"/>
      <c r="Q168" s="216"/>
      <c r="R168" s="216"/>
      <c r="S168" s="216"/>
      <c r="T168" s="216"/>
      <c r="U168" s="216"/>
      <c r="V168" s="216"/>
    </row>
    <row r="169" spans="1:22">
      <c r="E169" s="236"/>
      <c r="F169" s="236"/>
    </row>
    <row r="170" spans="1:22" hidden="1">
      <c r="E170" s="236"/>
      <c r="F170" s="236"/>
      <c r="J170" s="401" t="s">
        <v>4066</v>
      </c>
      <c r="K170" s="378">
        <v>63.78</v>
      </c>
    </row>
    <row r="171" spans="1:22" hidden="1">
      <c r="A171" s="2991"/>
      <c r="B171" s="2991"/>
      <c r="C171" s="2991"/>
      <c r="E171" s="236"/>
      <c r="F171" s="377"/>
      <c r="G171" s="377"/>
      <c r="H171" s="377">
        <v>54.8</v>
      </c>
      <c r="I171" s="377"/>
      <c r="J171" s="606"/>
    </row>
    <row r="172" spans="1:22" hidden="1">
      <c r="E172" s="236"/>
      <c r="F172" s="236"/>
      <c r="H172" s="378">
        <f>H171-H157-H164</f>
        <v>-19.539999999999992</v>
      </c>
      <c r="I172" s="378"/>
      <c r="J172" s="557"/>
    </row>
    <row r="173" spans="1:22" hidden="1">
      <c r="E173" s="236"/>
      <c r="F173" s="236"/>
    </row>
    <row r="174" spans="1:22" hidden="1">
      <c r="E174" s="236"/>
      <c r="F174" s="236"/>
      <c r="K174" s="378">
        <f>K170-K157-K164</f>
        <v>-25.306999999999995</v>
      </c>
    </row>
    <row r="175" spans="1:22" hidden="1">
      <c r="E175" s="236"/>
      <c r="F175" s="236"/>
    </row>
    <row r="176" spans="1:22" hidden="1">
      <c r="E176" s="236"/>
      <c r="F176" s="236"/>
      <c r="K176" s="236">
        <v>427.26100000000002</v>
      </c>
      <c r="L176" s="1219">
        <v>770.04600000000005</v>
      </c>
      <c r="M176" s="1219">
        <v>405.98899999999998</v>
      </c>
    </row>
    <row r="177" spans="5:13" hidden="1">
      <c r="E177" s="236"/>
      <c r="F177" s="236"/>
      <c r="K177" s="378">
        <f>K166-K176</f>
        <v>1366.5757319999998</v>
      </c>
      <c r="L177" s="378">
        <f>L176-L166</f>
        <v>0</v>
      </c>
      <c r="M177" s="378">
        <f>M166-M176</f>
        <v>-4.0199999989454227E-4</v>
      </c>
    </row>
    <row r="178" spans="5:13" hidden="1">
      <c r="E178" s="236"/>
      <c r="F178" s="236"/>
    </row>
    <row r="179" spans="5:13" hidden="1">
      <c r="E179" s="236"/>
      <c r="F179" s="236"/>
      <c r="J179" s="1231" t="s">
        <v>4132</v>
      </c>
      <c r="K179" s="1230">
        <f>K162-K177</f>
        <v>115.2940000000001</v>
      </c>
    </row>
    <row r="180" spans="5:13" hidden="1">
      <c r="E180" s="236"/>
      <c r="F180" s="236"/>
    </row>
    <row r="181" spans="5:13" hidden="1">
      <c r="E181" s="236"/>
      <c r="F181" s="236"/>
    </row>
    <row r="182" spans="5:13" hidden="1">
      <c r="E182" s="236"/>
      <c r="F182" s="236"/>
    </row>
    <row r="183" spans="5:13" hidden="1">
      <c r="E183" s="236"/>
      <c r="F183" s="236"/>
    </row>
    <row r="184" spans="5:13">
      <c r="E184" s="236"/>
      <c r="F184" s="236"/>
    </row>
    <row r="185" spans="5:13">
      <c r="E185" s="236"/>
      <c r="F185" s="236"/>
    </row>
    <row r="186" spans="5:13">
      <c r="E186" s="236"/>
      <c r="F186" s="236"/>
    </row>
    <row r="187" spans="5:13">
      <c r="E187" s="236"/>
      <c r="F187" s="236"/>
    </row>
    <row r="188" spans="5:13">
      <c r="E188" s="236"/>
      <c r="F188" s="236"/>
    </row>
    <row r="189" spans="5:13">
      <c r="E189" s="236"/>
      <c r="F189" s="236"/>
    </row>
    <row r="190" spans="5:13">
      <c r="E190" s="236"/>
      <c r="F190" s="236"/>
    </row>
    <row r="191" spans="5:13">
      <c r="E191" s="236"/>
      <c r="F191" s="236"/>
    </row>
    <row r="192" spans="5:13">
      <c r="E192" s="236"/>
      <c r="F192" s="236"/>
    </row>
    <row r="193" spans="5:6">
      <c r="E193" s="236"/>
      <c r="F193" s="236"/>
    </row>
    <row r="194" spans="5:6">
      <c r="E194" s="236"/>
      <c r="F194" s="236"/>
    </row>
    <row r="195" spans="5:6">
      <c r="E195" s="236"/>
      <c r="F195" s="236"/>
    </row>
    <row r="196" spans="5:6">
      <c r="E196" s="236"/>
      <c r="F196" s="236"/>
    </row>
    <row r="197" spans="5:6">
      <c r="E197" s="236"/>
      <c r="F197" s="236"/>
    </row>
    <row r="198" spans="5:6">
      <c r="E198" s="236"/>
      <c r="F198" s="236"/>
    </row>
    <row r="199" spans="5:6">
      <c r="E199" s="236"/>
      <c r="F199" s="236"/>
    </row>
    <row r="200" spans="5:6">
      <c r="E200" s="236"/>
      <c r="F200" s="236"/>
    </row>
    <row r="201" spans="5:6">
      <c r="E201" s="236"/>
      <c r="F201" s="236"/>
    </row>
    <row r="202" spans="5:6">
      <c r="E202" s="236"/>
      <c r="F202" s="236"/>
    </row>
    <row r="203" spans="5:6">
      <c r="E203" s="236"/>
      <c r="F203" s="236"/>
    </row>
    <row r="204" spans="5:6">
      <c r="E204" s="236"/>
      <c r="F204" s="236"/>
    </row>
    <row r="205" spans="5:6">
      <c r="E205" s="236"/>
      <c r="F205" s="236"/>
    </row>
    <row r="206" spans="5:6">
      <c r="E206" s="236"/>
      <c r="F206" s="236"/>
    </row>
    <row r="207" spans="5:6">
      <c r="E207" s="236"/>
      <c r="F207" s="236"/>
    </row>
    <row r="208" spans="5:6">
      <c r="E208" s="236"/>
      <c r="F208" s="236"/>
    </row>
    <row r="209" spans="5:6">
      <c r="E209" s="236"/>
      <c r="F209" s="236"/>
    </row>
    <row r="210" spans="5:6">
      <c r="E210" s="236"/>
      <c r="F210" s="236"/>
    </row>
    <row r="211" spans="5:6">
      <c r="E211" s="236"/>
      <c r="F211" s="236"/>
    </row>
    <row r="212" spans="5:6">
      <c r="E212" s="236"/>
      <c r="F212" s="236"/>
    </row>
    <row r="213" spans="5:6">
      <c r="E213" s="236"/>
      <c r="F213" s="236"/>
    </row>
    <row r="214" spans="5:6">
      <c r="E214" s="236"/>
      <c r="F214" s="236"/>
    </row>
    <row r="215" spans="5:6">
      <c r="E215" s="236"/>
      <c r="F215" s="236"/>
    </row>
    <row r="216" spans="5:6">
      <c r="E216" s="236"/>
      <c r="F216" s="236"/>
    </row>
    <row r="217" spans="5:6">
      <c r="E217" s="236"/>
      <c r="F217" s="236"/>
    </row>
    <row r="218" spans="5:6">
      <c r="E218" s="236"/>
      <c r="F218" s="236"/>
    </row>
    <row r="219" spans="5:6">
      <c r="E219" s="236"/>
      <c r="F219" s="236"/>
    </row>
    <row r="220" spans="5:6">
      <c r="E220" s="236"/>
      <c r="F220" s="236"/>
    </row>
    <row r="221" spans="5:6">
      <c r="E221" s="236"/>
      <c r="F221" s="236"/>
    </row>
    <row r="222" spans="5:6">
      <c r="E222" s="236"/>
      <c r="F222" s="236"/>
    </row>
    <row r="223" spans="5:6">
      <c r="E223" s="236"/>
      <c r="F223" s="236"/>
    </row>
    <row r="224" spans="5:6">
      <c r="E224" s="236"/>
      <c r="F224" s="236"/>
    </row>
    <row r="225" spans="5:6">
      <c r="E225" s="236"/>
      <c r="F225" s="236"/>
    </row>
    <row r="226" spans="5:6">
      <c r="E226" s="236"/>
      <c r="F226" s="236"/>
    </row>
    <row r="227" spans="5:6">
      <c r="E227" s="236"/>
      <c r="F227" s="236"/>
    </row>
    <row r="228" spans="5:6">
      <c r="E228" s="236"/>
      <c r="F228" s="236"/>
    </row>
    <row r="229" spans="5:6">
      <c r="E229" s="236"/>
      <c r="F229" s="236"/>
    </row>
    <row r="230" spans="5:6">
      <c r="E230" s="236"/>
      <c r="F230" s="236"/>
    </row>
    <row r="231" spans="5:6">
      <c r="E231" s="236"/>
      <c r="F231" s="236"/>
    </row>
    <row r="232" spans="5:6">
      <c r="E232" s="236"/>
      <c r="F232" s="236"/>
    </row>
    <row r="233" spans="5:6">
      <c r="E233" s="236"/>
      <c r="F233" s="236"/>
    </row>
    <row r="234" spans="5:6">
      <c r="E234" s="236"/>
      <c r="F234" s="236"/>
    </row>
    <row r="235" spans="5:6">
      <c r="E235" s="236"/>
      <c r="F235" s="236"/>
    </row>
    <row r="236" spans="5:6">
      <c r="E236" s="236"/>
      <c r="F236" s="236"/>
    </row>
    <row r="237" spans="5:6">
      <c r="E237" s="236"/>
      <c r="F237" s="236"/>
    </row>
    <row r="238" spans="5:6">
      <c r="E238" s="236"/>
      <c r="F238" s="236"/>
    </row>
    <row r="239" spans="5:6">
      <c r="E239" s="236"/>
      <c r="F239" s="236"/>
    </row>
    <row r="240" spans="5:6">
      <c r="E240" s="236"/>
      <c r="F240" s="236"/>
    </row>
    <row r="241" spans="5:6">
      <c r="E241" s="236"/>
      <c r="F241" s="236"/>
    </row>
    <row r="242" spans="5:6">
      <c r="E242" s="236"/>
      <c r="F242" s="236"/>
    </row>
    <row r="243" spans="5:6">
      <c r="E243" s="236"/>
      <c r="F243" s="236"/>
    </row>
    <row r="244" spans="5:6">
      <c r="E244" s="236"/>
      <c r="F244" s="236"/>
    </row>
    <row r="245" spans="5:6">
      <c r="E245" s="236"/>
      <c r="F245" s="236"/>
    </row>
    <row r="246" spans="5:6">
      <c r="E246" s="236"/>
      <c r="F246" s="236"/>
    </row>
    <row r="247" spans="5:6">
      <c r="E247" s="236"/>
      <c r="F247" s="236"/>
    </row>
    <row r="248" spans="5:6">
      <c r="E248" s="236"/>
      <c r="F248" s="236"/>
    </row>
    <row r="249" spans="5:6">
      <c r="E249" s="236"/>
      <c r="F249" s="236"/>
    </row>
    <row r="250" spans="5:6">
      <c r="E250" s="236"/>
      <c r="F250" s="236"/>
    </row>
    <row r="251" spans="5:6">
      <c r="E251" s="236"/>
      <c r="F251" s="236"/>
    </row>
    <row r="252" spans="5:6">
      <c r="E252" s="236"/>
      <c r="F252" s="236"/>
    </row>
    <row r="253" spans="5:6">
      <c r="E253" s="236"/>
      <c r="F253" s="236"/>
    </row>
    <row r="254" spans="5:6">
      <c r="E254" s="236"/>
      <c r="F254" s="236"/>
    </row>
    <row r="255" spans="5:6">
      <c r="E255" s="236"/>
      <c r="F255" s="236"/>
    </row>
    <row r="256" spans="5:6">
      <c r="E256" s="236"/>
      <c r="F256" s="236"/>
    </row>
    <row r="257" spans="5:6">
      <c r="E257" s="236"/>
      <c r="F257" s="236"/>
    </row>
    <row r="258" spans="5:6">
      <c r="E258" s="236"/>
      <c r="F258" s="236"/>
    </row>
    <row r="259" spans="5:6">
      <c r="E259" s="236"/>
      <c r="F259" s="236"/>
    </row>
    <row r="260" spans="5:6">
      <c r="E260" s="236"/>
      <c r="F260" s="236"/>
    </row>
    <row r="261" spans="5:6">
      <c r="E261" s="236"/>
      <c r="F261" s="236"/>
    </row>
    <row r="262" spans="5:6">
      <c r="E262" s="236"/>
      <c r="F262" s="236"/>
    </row>
    <row r="263" spans="5:6">
      <c r="E263" s="236"/>
      <c r="F263" s="236"/>
    </row>
    <row r="264" spans="5:6">
      <c r="E264" s="236"/>
      <c r="F264" s="236"/>
    </row>
    <row r="265" spans="5:6">
      <c r="E265" s="236"/>
      <c r="F265" s="236"/>
    </row>
    <row r="266" spans="5:6">
      <c r="E266" s="236"/>
      <c r="F266" s="236"/>
    </row>
    <row r="267" spans="5:6">
      <c r="E267" s="236"/>
      <c r="F267" s="236"/>
    </row>
    <row r="268" spans="5:6">
      <c r="E268" s="236"/>
      <c r="F268" s="236"/>
    </row>
    <row r="269" spans="5:6">
      <c r="E269" s="236"/>
      <c r="F269" s="236"/>
    </row>
    <row r="270" spans="5:6">
      <c r="E270" s="236"/>
      <c r="F270" s="236"/>
    </row>
    <row r="271" spans="5:6">
      <c r="E271" s="236"/>
      <c r="F271" s="236"/>
    </row>
    <row r="272" spans="5:6">
      <c r="E272" s="236"/>
      <c r="F272" s="236"/>
    </row>
    <row r="273" spans="5:6">
      <c r="E273" s="236"/>
      <c r="F273" s="236"/>
    </row>
    <row r="274" spans="5:6">
      <c r="E274" s="236"/>
      <c r="F274" s="236"/>
    </row>
    <row r="275" spans="5:6">
      <c r="E275" s="236"/>
      <c r="F275" s="236"/>
    </row>
    <row r="276" spans="5:6">
      <c r="E276" s="236"/>
      <c r="F276" s="236"/>
    </row>
    <row r="277" spans="5:6">
      <c r="E277" s="236"/>
      <c r="F277" s="236"/>
    </row>
    <row r="278" spans="5:6">
      <c r="E278" s="236"/>
      <c r="F278" s="236"/>
    </row>
    <row r="279" spans="5:6">
      <c r="E279" s="236"/>
      <c r="F279" s="236"/>
    </row>
    <row r="280" spans="5:6">
      <c r="E280" s="236"/>
      <c r="F280" s="236"/>
    </row>
    <row r="281" spans="5:6">
      <c r="E281" s="236"/>
      <c r="F281" s="236"/>
    </row>
    <row r="282" spans="5:6">
      <c r="E282" s="236"/>
      <c r="F282" s="236"/>
    </row>
    <row r="283" spans="5:6">
      <c r="E283" s="236"/>
      <c r="F283" s="236"/>
    </row>
    <row r="284" spans="5:6">
      <c r="E284" s="236"/>
      <c r="F284" s="236"/>
    </row>
    <row r="285" spans="5:6">
      <c r="E285" s="236"/>
      <c r="F285" s="236"/>
    </row>
    <row r="286" spans="5:6">
      <c r="E286" s="236"/>
      <c r="F286" s="236"/>
    </row>
    <row r="287" spans="5:6">
      <c r="E287" s="236"/>
      <c r="F287" s="236"/>
    </row>
    <row r="288" spans="5:6">
      <c r="E288" s="236"/>
      <c r="F288" s="236"/>
    </row>
    <row r="289" spans="5:6">
      <c r="E289" s="236"/>
      <c r="F289" s="236"/>
    </row>
    <row r="290" spans="5:6">
      <c r="E290" s="236"/>
      <c r="F290" s="236"/>
    </row>
    <row r="291" spans="5:6">
      <c r="E291" s="236"/>
      <c r="F291" s="236"/>
    </row>
    <row r="292" spans="5:6">
      <c r="E292" s="236"/>
      <c r="F292" s="236"/>
    </row>
    <row r="293" spans="5:6">
      <c r="E293" s="236"/>
      <c r="F293" s="236"/>
    </row>
    <row r="294" spans="5:6">
      <c r="E294" s="236"/>
      <c r="F294" s="236"/>
    </row>
    <row r="295" spans="5:6">
      <c r="E295" s="236"/>
      <c r="F295" s="236"/>
    </row>
    <row r="296" spans="5:6">
      <c r="E296" s="236"/>
      <c r="F296" s="236"/>
    </row>
    <row r="297" spans="5:6">
      <c r="E297" s="236"/>
      <c r="F297" s="236"/>
    </row>
    <row r="298" spans="5:6">
      <c r="E298" s="236"/>
      <c r="F298" s="236"/>
    </row>
    <row r="299" spans="5:6">
      <c r="E299" s="236"/>
      <c r="F299" s="236"/>
    </row>
    <row r="300" spans="5:6">
      <c r="E300" s="236"/>
      <c r="F300" s="236"/>
    </row>
    <row r="301" spans="5:6">
      <c r="E301" s="236"/>
      <c r="F301" s="236"/>
    </row>
    <row r="302" spans="5:6">
      <c r="E302" s="236"/>
      <c r="F302" s="236"/>
    </row>
    <row r="303" spans="5:6">
      <c r="E303" s="236"/>
      <c r="F303" s="236"/>
    </row>
    <row r="304" spans="5:6">
      <c r="E304" s="236"/>
      <c r="F304" s="236"/>
    </row>
    <row r="305" spans="5:6">
      <c r="E305" s="236"/>
      <c r="F305" s="236"/>
    </row>
    <row r="306" spans="5:6">
      <c r="E306" s="236"/>
      <c r="F306" s="236"/>
    </row>
    <row r="307" spans="5:6">
      <c r="E307" s="236"/>
      <c r="F307" s="236"/>
    </row>
    <row r="308" spans="5:6">
      <c r="E308" s="236"/>
      <c r="F308" s="236"/>
    </row>
    <row r="309" spans="5:6">
      <c r="E309" s="236"/>
      <c r="F309" s="236"/>
    </row>
    <row r="310" spans="5:6">
      <c r="E310" s="236"/>
      <c r="F310" s="236"/>
    </row>
    <row r="311" spans="5:6">
      <c r="E311" s="236"/>
      <c r="F311" s="236"/>
    </row>
    <row r="312" spans="5:6">
      <c r="E312" s="236"/>
      <c r="F312" s="236"/>
    </row>
    <row r="313" spans="5:6">
      <c r="E313" s="236"/>
      <c r="F313" s="236"/>
    </row>
    <row r="314" spans="5:6">
      <c r="E314" s="236"/>
      <c r="F314" s="236"/>
    </row>
    <row r="315" spans="5:6">
      <c r="E315" s="236"/>
      <c r="F315" s="236"/>
    </row>
    <row r="316" spans="5:6">
      <c r="E316" s="236"/>
      <c r="F316" s="236"/>
    </row>
    <row r="317" spans="5:6">
      <c r="E317" s="236"/>
      <c r="F317" s="236"/>
    </row>
    <row r="318" spans="5:6">
      <c r="E318" s="236"/>
      <c r="F318" s="236"/>
    </row>
    <row r="319" spans="5:6">
      <c r="E319" s="236"/>
      <c r="F319" s="236"/>
    </row>
    <row r="320" spans="5:6">
      <c r="E320" s="236"/>
      <c r="F320" s="236"/>
    </row>
    <row r="321" spans="5:6">
      <c r="E321" s="236"/>
      <c r="F321" s="236"/>
    </row>
    <row r="322" spans="5:6">
      <c r="E322" s="236"/>
      <c r="F322" s="236"/>
    </row>
    <row r="323" spans="5:6">
      <c r="E323" s="236"/>
      <c r="F323" s="236"/>
    </row>
    <row r="324" spans="5:6">
      <c r="E324" s="236"/>
      <c r="F324" s="236"/>
    </row>
    <row r="325" spans="5:6">
      <c r="E325" s="236"/>
      <c r="F325" s="236"/>
    </row>
    <row r="326" spans="5:6">
      <c r="E326" s="236"/>
      <c r="F326" s="236"/>
    </row>
    <row r="327" spans="5:6">
      <c r="E327" s="236"/>
      <c r="F327" s="236"/>
    </row>
    <row r="328" spans="5:6">
      <c r="E328" s="236"/>
      <c r="F328" s="236"/>
    </row>
    <row r="329" spans="5:6">
      <c r="E329" s="236"/>
      <c r="F329" s="236"/>
    </row>
    <row r="330" spans="5:6">
      <c r="E330" s="236"/>
      <c r="F330" s="236"/>
    </row>
    <row r="331" spans="5:6">
      <c r="E331" s="236"/>
      <c r="F331" s="236"/>
    </row>
    <row r="332" spans="5:6">
      <c r="E332" s="236"/>
      <c r="F332" s="236"/>
    </row>
    <row r="333" spans="5:6">
      <c r="E333" s="236"/>
      <c r="F333" s="236"/>
    </row>
    <row r="334" spans="5:6">
      <c r="E334" s="236"/>
      <c r="F334" s="236"/>
    </row>
    <row r="335" spans="5:6">
      <c r="E335" s="236"/>
      <c r="F335" s="236"/>
    </row>
    <row r="336" spans="5:6">
      <c r="E336" s="236"/>
      <c r="F336" s="236"/>
    </row>
    <row r="337" spans="5:6">
      <c r="E337" s="236"/>
      <c r="F337" s="236"/>
    </row>
    <row r="338" spans="5:6">
      <c r="E338" s="236"/>
      <c r="F338" s="236"/>
    </row>
    <row r="339" spans="5:6">
      <c r="E339" s="236"/>
      <c r="F339" s="236"/>
    </row>
    <row r="340" spans="5:6">
      <c r="E340" s="236"/>
      <c r="F340" s="236"/>
    </row>
    <row r="341" spans="5:6">
      <c r="E341" s="236"/>
      <c r="F341" s="236"/>
    </row>
    <row r="342" spans="5:6">
      <c r="E342" s="236"/>
      <c r="F342" s="236"/>
    </row>
    <row r="343" spans="5:6">
      <c r="E343" s="236"/>
      <c r="F343" s="236"/>
    </row>
    <row r="344" spans="5:6">
      <c r="E344" s="236"/>
      <c r="F344" s="236"/>
    </row>
    <row r="345" spans="5:6">
      <c r="E345" s="236"/>
      <c r="F345" s="236"/>
    </row>
    <row r="346" spans="5:6">
      <c r="E346" s="236"/>
      <c r="F346" s="236"/>
    </row>
    <row r="347" spans="5:6">
      <c r="E347" s="236"/>
      <c r="F347" s="236"/>
    </row>
    <row r="348" spans="5:6">
      <c r="E348" s="236"/>
      <c r="F348" s="236"/>
    </row>
    <row r="349" spans="5:6">
      <c r="E349" s="236"/>
      <c r="F349" s="236"/>
    </row>
    <row r="350" spans="5:6">
      <c r="E350" s="236"/>
      <c r="F350" s="236"/>
    </row>
    <row r="351" spans="5:6">
      <c r="E351" s="236"/>
      <c r="F351" s="236"/>
    </row>
    <row r="352" spans="5:6">
      <c r="E352" s="236"/>
      <c r="F352" s="236"/>
    </row>
    <row r="353" spans="5:6">
      <c r="E353" s="236"/>
      <c r="F353" s="236"/>
    </row>
    <row r="354" spans="5:6">
      <c r="E354" s="236"/>
      <c r="F354" s="236"/>
    </row>
    <row r="355" spans="5:6">
      <c r="E355" s="236"/>
      <c r="F355" s="236"/>
    </row>
    <row r="356" spans="5:6">
      <c r="E356" s="236"/>
      <c r="F356" s="236"/>
    </row>
    <row r="357" spans="5:6">
      <c r="E357" s="236"/>
      <c r="F357" s="236"/>
    </row>
    <row r="358" spans="5:6">
      <c r="E358" s="236"/>
      <c r="F358" s="236"/>
    </row>
    <row r="359" spans="5:6">
      <c r="E359" s="236"/>
      <c r="F359" s="236"/>
    </row>
    <row r="360" spans="5:6">
      <c r="E360" s="236"/>
      <c r="F360" s="236"/>
    </row>
    <row r="361" spans="5:6">
      <c r="E361" s="236"/>
      <c r="F361" s="236"/>
    </row>
    <row r="362" spans="5:6">
      <c r="E362" s="236"/>
      <c r="F362" s="236"/>
    </row>
    <row r="363" spans="5:6">
      <c r="E363" s="236"/>
      <c r="F363" s="236"/>
    </row>
    <row r="364" spans="5:6">
      <c r="E364" s="236"/>
      <c r="F364" s="236"/>
    </row>
    <row r="365" spans="5:6">
      <c r="E365" s="236"/>
      <c r="F365" s="236"/>
    </row>
    <row r="366" spans="5:6">
      <c r="E366" s="236"/>
      <c r="F366" s="236"/>
    </row>
    <row r="367" spans="5:6">
      <c r="E367" s="236"/>
      <c r="F367" s="236"/>
    </row>
    <row r="368" spans="5:6">
      <c r="E368" s="236"/>
      <c r="F368" s="236"/>
    </row>
    <row r="369" spans="5:6">
      <c r="E369" s="236"/>
      <c r="F369" s="236"/>
    </row>
    <row r="370" spans="5:6">
      <c r="E370" s="236"/>
      <c r="F370" s="236"/>
    </row>
    <row r="371" spans="5:6">
      <c r="E371" s="236"/>
      <c r="F371" s="236"/>
    </row>
    <row r="372" spans="5:6">
      <c r="E372" s="236"/>
      <c r="F372" s="236"/>
    </row>
    <row r="373" spans="5:6">
      <c r="E373" s="236"/>
      <c r="F373" s="236"/>
    </row>
    <row r="374" spans="5:6">
      <c r="E374" s="236"/>
      <c r="F374" s="236"/>
    </row>
    <row r="375" spans="5:6">
      <c r="E375" s="236"/>
      <c r="F375" s="236"/>
    </row>
    <row r="376" spans="5:6">
      <c r="E376" s="236"/>
      <c r="F376" s="236"/>
    </row>
    <row r="377" spans="5:6">
      <c r="E377" s="236"/>
      <c r="F377" s="236"/>
    </row>
    <row r="378" spans="5:6">
      <c r="E378" s="236"/>
      <c r="F378" s="236"/>
    </row>
    <row r="379" spans="5:6">
      <c r="E379" s="236"/>
      <c r="F379" s="236"/>
    </row>
    <row r="380" spans="5:6">
      <c r="E380" s="236"/>
      <c r="F380" s="236"/>
    </row>
    <row r="381" spans="5:6">
      <c r="E381" s="236"/>
      <c r="F381" s="236"/>
    </row>
    <row r="382" spans="5:6">
      <c r="E382" s="236"/>
      <c r="F382" s="236"/>
    </row>
    <row r="383" spans="5:6">
      <c r="E383" s="236"/>
      <c r="F383" s="236"/>
    </row>
    <row r="384" spans="5:6">
      <c r="E384" s="236"/>
      <c r="F384" s="236"/>
    </row>
    <row r="385" spans="5:6">
      <c r="E385" s="236"/>
      <c r="F385" s="236"/>
    </row>
    <row r="386" spans="5:6">
      <c r="E386" s="236"/>
      <c r="F386" s="236"/>
    </row>
    <row r="387" spans="5:6">
      <c r="E387" s="236"/>
      <c r="F387" s="236"/>
    </row>
    <row r="388" spans="5:6">
      <c r="E388" s="236"/>
      <c r="F388" s="236"/>
    </row>
    <row r="389" spans="5:6">
      <c r="E389" s="236"/>
      <c r="F389" s="236"/>
    </row>
    <row r="390" spans="5:6">
      <c r="E390" s="236"/>
      <c r="F390" s="236"/>
    </row>
    <row r="391" spans="5:6">
      <c r="E391" s="236"/>
      <c r="F391" s="236"/>
    </row>
    <row r="392" spans="5:6">
      <c r="E392" s="236"/>
      <c r="F392" s="236"/>
    </row>
    <row r="393" spans="5:6">
      <c r="E393" s="236"/>
      <c r="F393" s="236"/>
    </row>
    <row r="394" spans="5:6">
      <c r="E394" s="236"/>
      <c r="F394" s="236"/>
    </row>
    <row r="395" spans="5:6">
      <c r="E395" s="236"/>
      <c r="F395" s="236"/>
    </row>
    <row r="396" spans="5:6">
      <c r="E396" s="236"/>
      <c r="F396" s="236"/>
    </row>
    <row r="397" spans="5:6">
      <c r="E397" s="236"/>
      <c r="F397" s="236"/>
    </row>
    <row r="398" spans="5:6">
      <c r="E398" s="236"/>
      <c r="F398" s="236"/>
    </row>
    <row r="399" spans="5:6">
      <c r="E399" s="236"/>
      <c r="F399" s="236"/>
    </row>
    <row r="400" spans="5:6">
      <c r="E400" s="236"/>
      <c r="F400" s="236"/>
    </row>
    <row r="401" spans="5:6">
      <c r="E401" s="236"/>
      <c r="F401" s="236"/>
    </row>
    <row r="402" spans="5:6">
      <c r="E402" s="236"/>
      <c r="F402" s="236"/>
    </row>
    <row r="403" spans="5:6">
      <c r="E403" s="236"/>
      <c r="F403" s="236"/>
    </row>
    <row r="404" spans="5:6">
      <c r="E404" s="236"/>
      <c r="F404" s="236"/>
    </row>
    <row r="405" spans="5:6">
      <c r="E405" s="236"/>
      <c r="F405" s="236"/>
    </row>
    <row r="406" spans="5:6">
      <c r="E406" s="236"/>
      <c r="F406" s="236"/>
    </row>
    <row r="407" spans="5:6">
      <c r="E407" s="236"/>
      <c r="F407" s="236"/>
    </row>
    <row r="408" spans="5:6">
      <c r="E408" s="236"/>
      <c r="F408" s="236"/>
    </row>
    <row r="409" spans="5:6">
      <c r="E409" s="236"/>
      <c r="F409" s="236"/>
    </row>
    <row r="410" spans="5:6">
      <c r="E410" s="236"/>
      <c r="F410" s="236"/>
    </row>
    <row r="411" spans="5:6">
      <c r="E411" s="236"/>
      <c r="F411" s="236"/>
    </row>
    <row r="412" spans="5:6">
      <c r="E412" s="236"/>
      <c r="F412" s="236"/>
    </row>
    <row r="413" spans="5:6">
      <c r="E413" s="236"/>
      <c r="F413" s="236"/>
    </row>
    <row r="414" spans="5:6">
      <c r="E414" s="236"/>
      <c r="F414" s="236"/>
    </row>
    <row r="415" spans="5:6">
      <c r="E415" s="236"/>
      <c r="F415" s="236"/>
    </row>
    <row r="416" spans="5:6">
      <c r="E416" s="236"/>
      <c r="F416" s="236"/>
    </row>
    <row r="417" spans="5:6">
      <c r="E417" s="236"/>
      <c r="F417" s="236"/>
    </row>
    <row r="418" spans="5:6">
      <c r="E418" s="236"/>
      <c r="F418" s="236"/>
    </row>
    <row r="419" spans="5:6">
      <c r="E419" s="236"/>
      <c r="F419" s="236"/>
    </row>
    <row r="420" spans="5:6">
      <c r="E420" s="236"/>
      <c r="F420" s="236"/>
    </row>
    <row r="421" spans="5:6">
      <c r="E421" s="236"/>
      <c r="F421" s="236"/>
    </row>
    <row r="422" spans="5:6">
      <c r="E422" s="236"/>
      <c r="F422" s="236"/>
    </row>
    <row r="423" spans="5:6">
      <c r="E423" s="236"/>
      <c r="F423" s="236"/>
    </row>
    <row r="424" spans="5:6">
      <c r="E424" s="236"/>
      <c r="F424" s="236"/>
    </row>
    <row r="425" spans="5:6">
      <c r="E425" s="236"/>
      <c r="F425" s="236"/>
    </row>
    <row r="426" spans="5:6">
      <c r="E426" s="236"/>
      <c r="F426" s="236"/>
    </row>
    <row r="427" spans="5:6">
      <c r="E427" s="236"/>
      <c r="F427" s="236"/>
    </row>
    <row r="428" spans="5:6">
      <c r="E428" s="236"/>
      <c r="F428" s="236"/>
    </row>
    <row r="429" spans="5:6">
      <c r="E429" s="236"/>
      <c r="F429" s="236"/>
    </row>
    <row r="430" spans="5:6">
      <c r="E430" s="236"/>
      <c r="F430" s="236"/>
    </row>
    <row r="431" spans="5:6">
      <c r="E431" s="236"/>
      <c r="F431" s="236"/>
    </row>
    <row r="432" spans="5:6">
      <c r="E432" s="236"/>
      <c r="F432" s="236"/>
    </row>
    <row r="433" spans="5:6">
      <c r="E433" s="236"/>
      <c r="F433" s="236"/>
    </row>
    <row r="434" spans="5:6">
      <c r="E434" s="236"/>
      <c r="F434" s="236"/>
    </row>
    <row r="435" spans="5:6">
      <c r="E435" s="236"/>
      <c r="F435" s="236"/>
    </row>
    <row r="436" spans="5:6">
      <c r="E436" s="236"/>
      <c r="F436" s="236"/>
    </row>
    <row r="437" spans="5:6">
      <c r="E437" s="236"/>
      <c r="F437" s="236"/>
    </row>
    <row r="438" spans="5:6">
      <c r="E438" s="236"/>
      <c r="F438" s="236"/>
    </row>
    <row r="439" spans="5:6">
      <c r="E439" s="236"/>
      <c r="F439" s="236"/>
    </row>
    <row r="440" spans="5:6">
      <c r="E440" s="236"/>
      <c r="F440" s="236"/>
    </row>
    <row r="441" spans="5:6">
      <c r="E441" s="236"/>
      <c r="F441" s="236"/>
    </row>
    <row r="442" spans="5:6">
      <c r="E442" s="236"/>
      <c r="F442" s="236"/>
    </row>
    <row r="443" spans="5:6">
      <c r="E443" s="236"/>
      <c r="F443" s="236"/>
    </row>
    <row r="444" spans="5:6">
      <c r="E444" s="236"/>
      <c r="F444" s="236"/>
    </row>
    <row r="445" spans="5:6">
      <c r="E445" s="236"/>
      <c r="F445" s="236"/>
    </row>
    <row r="446" spans="5:6">
      <c r="E446" s="236"/>
      <c r="F446" s="236"/>
    </row>
    <row r="447" spans="5:6">
      <c r="E447" s="236"/>
      <c r="F447" s="236"/>
    </row>
    <row r="448" spans="5:6">
      <c r="E448" s="236"/>
      <c r="F448" s="236"/>
    </row>
    <row r="449" spans="5:6">
      <c r="E449" s="236"/>
      <c r="F449" s="236"/>
    </row>
    <row r="450" spans="5:6">
      <c r="E450" s="236"/>
      <c r="F450" s="236"/>
    </row>
    <row r="451" spans="5:6">
      <c r="E451" s="236"/>
      <c r="F451" s="236"/>
    </row>
    <row r="452" spans="5:6">
      <c r="E452" s="236"/>
      <c r="F452" s="236"/>
    </row>
    <row r="453" spans="5:6">
      <c r="E453" s="236"/>
      <c r="F453" s="236"/>
    </row>
    <row r="454" spans="5:6">
      <c r="E454" s="236"/>
      <c r="F454" s="236"/>
    </row>
    <row r="455" spans="5:6">
      <c r="E455" s="236"/>
      <c r="F455" s="236"/>
    </row>
    <row r="456" spans="5:6">
      <c r="E456" s="236"/>
      <c r="F456" s="236"/>
    </row>
    <row r="457" spans="5:6">
      <c r="E457" s="236"/>
      <c r="F457" s="236"/>
    </row>
    <row r="458" spans="5:6">
      <c r="E458" s="236"/>
      <c r="F458" s="236"/>
    </row>
    <row r="459" spans="5:6">
      <c r="E459" s="236"/>
      <c r="F459" s="236"/>
    </row>
    <row r="460" spans="5:6">
      <c r="E460" s="236"/>
      <c r="F460" s="236"/>
    </row>
    <row r="461" spans="5:6">
      <c r="E461" s="236"/>
      <c r="F461" s="236"/>
    </row>
    <row r="462" spans="5:6">
      <c r="E462" s="236"/>
      <c r="F462" s="236"/>
    </row>
    <row r="463" spans="5:6">
      <c r="E463" s="236"/>
      <c r="F463" s="236"/>
    </row>
    <row r="464" spans="5:6">
      <c r="E464" s="236"/>
      <c r="F464" s="236"/>
    </row>
    <row r="465" spans="5:6">
      <c r="E465" s="236"/>
      <c r="F465" s="236"/>
    </row>
    <row r="466" spans="5:6">
      <c r="E466" s="236"/>
      <c r="F466" s="236"/>
    </row>
    <row r="467" spans="5:6">
      <c r="E467" s="236"/>
      <c r="F467" s="236"/>
    </row>
    <row r="468" spans="5:6">
      <c r="E468" s="236"/>
      <c r="F468" s="236"/>
    </row>
    <row r="469" spans="5:6">
      <c r="E469" s="236"/>
      <c r="F469" s="236"/>
    </row>
    <row r="470" spans="5:6">
      <c r="E470" s="236"/>
      <c r="F470" s="236"/>
    </row>
    <row r="471" spans="5:6">
      <c r="E471" s="236"/>
      <c r="F471" s="236"/>
    </row>
    <row r="472" spans="5:6">
      <c r="E472" s="236"/>
      <c r="F472" s="236"/>
    </row>
    <row r="473" spans="5:6">
      <c r="E473" s="236"/>
      <c r="F473" s="236"/>
    </row>
    <row r="474" spans="5:6">
      <c r="E474" s="236"/>
      <c r="F474" s="236"/>
    </row>
    <row r="475" spans="5:6">
      <c r="E475" s="236"/>
      <c r="F475" s="236"/>
    </row>
    <row r="476" spans="5:6">
      <c r="E476" s="236"/>
      <c r="F476" s="236"/>
    </row>
    <row r="477" spans="5:6">
      <c r="E477" s="236"/>
      <c r="F477" s="236"/>
    </row>
    <row r="478" spans="5:6">
      <c r="E478" s="236"/>
      <c r="F478" s="236"/>
    </row>
    <row r="479" spans="5:6">
      <c r="E479" s="236"/>
      <c r="F479" s="236"/>
    </row>
    <row r="480" spans="5:6">
      <c r="E480" s="236"/>
      <c r="F480" s="236"/>
    </row>
    <row r="481" spans="5:6">
      <c r="E481" s="236"/>
      <c r="F481" s="236"/>
    </row>
    <row r="482" spans="5:6">
      <c r="E482" s="236"/>
      <c r="F482" s="236"/>
    </row>
    <row r="483" spans="5:6">
      <c r="E483" s="236"/>
      <c r="F483" s="236"/>
    </row>
    <row r="484" spans="5:6">
      <c r="E484" s="236"/>
      <c r="F484" s="236"/>
    </row>
    <row r="485" spans="5:6">
      <c r="E485" s="236"/>
      <c r="F485" s="236"/>
    </row>
    <row r="486" spans="5:6">
      <c r="E486" s="236"/>
      <c r="F486" s="236"/>
    </row>
    <row r="487" spans="5:6">
      <c r="E487" s="236"/>
      <c r="F487" s="236"/>
    </row>
    <row r="488" spans="5:6">
      <c r="E488" s="236"/>
      <c r="F488" s="236"/>
    </row>
    <row r="489" spans="5:6">
      <c r="E489" s="236"/>
      <c r="F489" s="236"/>
    </row>
    <row r="490" spans="5:6">
      <c r="E490" s="236"/>
      <c r="F490" s="236"/>
    </row>
    <row r="491" spans="5:6">
      <c r="E491" s="236"/>
      <c r="F491" s="236"/>
    </row>
    <row r="492" spans="5:6">
      <c r="E492" s="236"/>
      <c r="F492" s="236"/>
    </row>
    <row r="493" spans="5:6">
      <c r="E493" s="236"/>
      <c r="F493" s="236"/>
    </row>
    <row r="494" spans="5:6">
      <c r="E494" s="236"/>
      <c r="F494" s="236"/>
    </row>
    <row r="495" spans="5:6">
      <c r="E495" s="236"/>
      <c r="F495" s="236"/>
    </row>
    <row r="496" spans="5:6">
      <c r="E496" s="236"/>
      <c r="F496" s="236"/>
    </row>
    <row r="497" spans="5:6">
      <c r="E497" s="236"/>
      <c r="F497" s="236"/>
    </row>
    <row r="498" spans="5:6">
      <c r="E498" s="236"/>
      <c r="F498" s="236"/>
    </row>
    <row r="499" spans="5:6">
      <c r="E499" s="236"/>
      <c r="F499" s="236"/>
    </row>
    <row r="500" spans="5:6">
      <c r="E500" s="236"/>
      <c r="F500" s="236"/>
    </row>
    <row r="501" spans="5:6">
      <c r="E501" s="236"/>
      <c r="F501" s="236"/>
    </row>
    <row r="502" spans="5:6">
      <c r="E502" s="236"/>
      <c r="F502" s="236"/>
    </row>
    <row r="503" spans="5:6">
      <c r="E503" s="236"/>
      <c r="F503" s="236"/>
    </row>
    <row r="504" spans="5:6">
      <c r="E504" s="236"/>
      <c r="F504" s="236"/>
    </row>
    <row r="505" spans="5:6">
      <c r="E505" s="236"/>
      <c r="F505" s="236"/>
    </row>
    <row r="506" spans="5:6">
      <c r="E506" s="236"/>
      <c r="F506" s="236"/>
    </row>
    <row r="507" spans="5:6">
      <c r="E507" s="236"/>
      <c r="F507" s="236"/>
    </row>
    <row r="508" spans="5:6">
      <c r="E508" s="236"/>
      <c r="F508" s="236"/>
    </row>
    <row r="509" spans="5:6">
      <c r="E509" s="236"/>
      <c r="F509" s="236"/>
    </row>
    <row r="510" spans="5:6">
      <c r="E510" s="236"/>
      <c r="F510" s="236"/>
    </row>
    <row r="511" spans="5:6">
      <c r="E511" s="236"/>
      <c r="F511" s="236"/>
    </row>
    <row r="512" spans="5:6">
      <c r="E512" s="236"/>
      <c r="F512" s="236"/>
    </row>
    <row r="513" spans="5:6">
      <c r="E513" s="236"/>
      <c r="F513" s="236"/>
    </row>
    <row r="514" spans="5:6">
      <c r="E514" s="236"/>
      <c r="F514" s="236"/>
    </row>
    <row r="515" spans="5:6">
      <c r="E515" s="236"/>
      <c r="F515" s="236"/>
    </row>
    <row r="516" spans="5:6">
      <c r="E516" s="236"/>
      <c r="F516" s="236"/>
    </row>
    <row r="517" spans="5:6">
      <c r="E517" s="236"/>
      <c r="F517" s="236"/>
    </row>
    <row r="518" spans="5:6">
      <c r="E518" s="236"/>
      <c r="F518" s="236"/>
    </row>
    <row r="519" spans="5:6">
      <c r="E519" s="236"/>
      <c r="F519" s="236"/>
    </row>
    <row r="520" spans="5:6">
      <c r="E520" s="236"/>
      <c r="F520" s="236"/>
    </row>
    <row r="521" spans="5:6">
      <c r="E521" s="236"/>
      <c r="F521" s="236"/>
    </row>
    <row r="522" spans="5:6">
      <c r="E522" s="236"/>
      <c r="F522" s="236"/>
    </row>
    <row r="523" spans="5:6">
      <c r="E523" s="236"/>
      <c r="F523" s="236"/>
    </row>
    <row r="524" spans="5:6">
      <c r="E524" s="236"/>
      <c r="F524" s="236"/>
    </row>
    <row r="525" spans="5:6">
      <c r="E525" s="236"/>
      <c r="F525" s="236"/>
    </row>
    <row r="526" spans="5:6">
      <c r="E526" s="236"/>
      <c r="F526" s="236"/>
    </row>
    <row r="527" spans="5:6">
      <c r="E527" s="236"/>
      <c r="F527" s="236"/>
    </row>
    <row r="528" spans="5:6">
      <c r="E528" s="236"/>
      <c r="F528" s="236"/>
    </row>
    <row r="529" spans="5:6">
      <c r="E529" s="236"/>
      <c r="F529" s="236"/>
    </row>
    <row r="530" spans="5:6">
      <c r="E530" s="236"/>
      <c r="F530" s="236"/>
    </row>
    <row r="531" spans="5:6">
      <c r="E531" s="236"/>
      <c r="F531" s="236"/>
    </row>
    <row r="532" spans="5:6">
      <c r="E532" s="236"/>
      <c r="F532" s="236"/>
    </row>
    <row r="533" spans="5:6">
      <c r="E533" s="236"/>
      <c r="F533" s="236"/>
    </row>
    <row r="534" spans="5:6">
      <c r="E534" s="236"/>
      <c r="F534" s="236"/>
    </row>
    <row r="535" spans="5:6">
      <c r="E535" s="236"/>
      <c r="F535" s="236"/>
    </row>
    <row r="536" spans="5:6">
      <c r="E536" s="236"/>
      <c r="F536" s="236"/>
    </row>
    <row r="537" spans="5:6">
      <c r="E537" s="236"/>
      <c r="F537" s="236"/>
    </row>
    <row r="538" spans="5:6">
      <c r="E538" s="236"/>
      <c r="F538" s="236"/>
    </row>
    <row r="539" spans="5:6">
      <c r="E539" s="236"/>
      <c r="F539" s="236"/>
    </row>
    <row r="540" spans="5:6">
      <c r="E540" s="236"/>
      <c r="F540" s="236"/>
    </row>
    <row r="541" spans="5:6">
      <c r="E541" s="236"/>
      <c r="F541" s="236"/>
    </row>
    <row r="542" spans="5:6">
      <c r="E542" s="236"/>
      <c r="F542" s="236"/>
    </row>
    <row r="543" spans="5:6">
      <c r="E543" s="236"/>
      <c r="F543" s="236"/>
    </row>
    <row r="544" spans="5:6">
      <c r="E544" s="236"/>
      <c r="F544" s="236"/>
    </row>
    <row r="545" spans="5:6">
      <c r="E545" s="236"/>
      <c r="F545" s="236"/>
    </row>
    <row r="546" spans="5:6">
      <c r="E546" s="236"/>
      <c r="F546" s="236"/>
    </row>
    <row r="547" spans="5:6">
      <c r="E547" s="236"/>
      <c r="F547" s="236"/>
    </row>
    <row r="548" spans="5:6">
      <c r="E548" s="236"/>
      <c r="F548" s="236"/>
    </row>
    <row r="549" spans="5:6">
      <c r="E549" s="236"/>
      <c r="F549" s="236"/>
    </row>
    <row r="550" spans="5:6">
      <c r="E550" s="236"/>
      <c r="F550" s="236"/>
    </row>
    <row r="551" spans="5:6">
      <c r="E551" s="236"/>
      <c r="F551" s="236"/>
    </row>
    <row r="552" spans="5:6">
      <c r="E552" s="236"/>
      <c r="F552" s="236"/>
    </row>
    <row r="553" spans="5:6">
      <c r="E553" s="236"/>
      <c r="F553" s="236"/>
    </row>
    <row r="554" spans="5:6">
      <c r="E554" s="236"/>
      <c r="F554" s="236"/>
    </row>
    <row r="555" spans="5:6">
      <c r="E555" s="236"/>
      <c r="F555" s="236"/>
    </row>
    <row r="556" spans="5:6">
      <c r="E556" s="236"/>
      <c r="F556" s="236"/>
    </row>
    <row r="557" spans="5:6">
      <c r="E557" s="236"/>
      <c r="F557" s="236"/>
    </row>
    <row r="558" spans="5:6">
      <c r="E558" s="236"/>
      <c r="F558" s="236"/>
    </row>
    <row r="559" spans="5:6">
      <c r="E559" s="236"/>
      <c r="F559" s="236"/>
    </row>
    <row r="560" spans="5:6">
      <c r="E560" s="236"/>
      <c r="F560" s="236"/>
    </row>
    <row r="561" spans="5:6">
      <c r="E561" s="236"/>
      <c r="F561" s="236"/>
    </row>
    <row r="562" spans="5:6">
      <c r="E562" s="236"/>
      <c r="F562" s="236"/>
    </row>
    <row r="563" spans="5:6">
      <c r="E563" s="236"/>
      <c r="F563" s="236"/>
    </row>
    <row r="564" spans="5:6">
      <c r="E564" s="236"/>
      <c r="F564" s="236"/>
    </row>
    <row r="565" spans="5:6">
      <c r="E565" s="236"/>
      <c r="F565" s="236"/>
    </row>
    <row r="566" spans="5:6">
      <c r="E566" s="236"/>
      <c r="F566" s="236"/>
    </row>
    <row r="567" spans="5:6">
      <c r="E567" s="236"/>
      <c r="F567" s="236"/>
    </row>
    <row r="568" spans="5:6">
      <c r="E568" s="236"/>
      <c r="F568" s="236"/>
    </row>
    <row r="569" spans="5:6">
      <c r="E569" s="236"/>
      <c r="F569" s="236"/>
    </row>
    <row r="570" spans="5:6">
      <c r="E570" s="236"/>
      <c r="F570" s="236"/>
    </row>
    <row r="571" spans="5:6">
      <c r="E571" s="236"/>
      <c r="F571" s="236"/>
    </row>
    <row r="572" spans="5:6">
      <c r="E572" s="236"/>
      <c r="F572" s="236"/>
    </row>
    <row r="573" spans="5:6">
      <c r="E573" s="236"/>
      <c r="F573" s="236"/>
    </row>
    <row r="574" spans="5:6">
      <c r="E574" s="236"/>
      <c r="F574" s="236"/>
    </row>
    <row r="575" spans="5:6">
      <c r="E575" s="236"/>
      <c r="F575" s="236"/>
    </row>
    <row r="576" spans="5:6">
      <c r="E576" s="236"/>
      <c r="F576" s="236"/>
    </row>
    <row r="577" spans="5:6">
      <c r="E577" s="236"/>
      <c r="F577" s="236"/>
    </row>
    <row r="578" spans="5:6">
      <c r="E578" s="236"/>
      <c r="F578" s="236"/>
    </row>
    <row r="579" spans="5:6">
      <c r="E579" s="236"/>
      <c r="F579" s="236"/>
    </row>
    <row r="580" spans="5:6">
      <c r="E580" s="236"/>
      <c r="F580" s="236"/>
    </row>
    <row r="581" spans="5:6">
      <c r="E581" s="236"/>
      <c r="F581" s="236"/>
    </row>
    <row r="582" spans="5:6">
      <c r="E582" s="236"/>
      <c r="F582" s="236"/>
    </row>
    <row r="583" spans="5:6">
      <c r="E583" s="236"/>
      <c r="F583" s="236"/>
    </row>
    <row r="584" spans="5:6">
      <c r="E584" s="236"/>
      <c r="F584" s="236"/>
    </row>
    <row r="585" spans="5:6">
      <c r="E585" s="236"/>
      <c r="F585" s="236"/>
    </row>
    <row r="586" spans="5:6">
      <c r="E586" s="236"/>
      <c r="F586" s="236"/>
    </row>
    <row r="587" spans="5:6">
      <c r="E587" s="236"/>
      <c r="F587" s="236"/>
    </row>
    <row r="588" spans="5:6">
      <c r="E588" s="236"/>
      <c r="F588" s="236"/>
    </row>
    <row r="589" spans="5:6">
      <c r="E589" s="236"/>
      <c r="F589" s="236"/>
    </row>
    <row r="590" spans="5:6">
      <c r="E590" s="236"/>
      <c r="F590" s="236"/>
    </row>
    <row r="591" spans="5:6">
      <c r="E591" s="236"/>
      <c r="F591" s="236"/>
    </row>
    <row r="592" spans="5:6">
      <c r="E592" s="236"/>
      <c r="F592" s="236"/>
    </row>
    <row r="593" spans="5:6">
      <c r="E593" s="236"/>
      <c r="F593" s="236"/>
    </row>
    <row r="594" spans="5:6">
      <c r="E594" s="236"/>
      <c r="F594" s="236"/>
    </row>
    <row r="595" spans="5:6">
      <c r="E595" s="236"/>
      <c r="F595" s="236"/>
    </row>
    <row r="596" spans="5:6">
      <c r="E596" s="236"/>
      <c r="F596" s="236"/>
    </row>
    <row r="597" spans="5:6">
      <c r="E597" s="236"/>
      <c r="F597" s="236"/>
    </row>
    <row r="598" spans="5:6">
      <c r="E598" s="236"/>
      <c r="F598" s="236"/>
    </row>
    <row r="599" spans="5:6">
      <c r="E599" s="236"/>
      <c r="F599" s="236"/>
    </row>
    <row r="600" spans="5:6">
      <c r="E600" s="236"/>
      <c r="F600" s="236"/>
    </row>
    <row r="601" spans="5:6">
      <c r="E601" s="236"/>
      <c r="F601" s="236"/>
    </row>
    <row r="602" spans="5:6">
      <c r="E602" s="236"/>
      <c r="F602" s="236"/>
    </row>
    <row r="603" spans="5:6">
      <c r="E603" s="236"/>
      <c r="F603" s="236"/>
    </row>
    <row r="604" spans="5:6">
      <c r="E604" s="236"/>
      <c r="F604" s="236"/>
    </row>
    <row r="605" spans="5:6">
      <c r="E605" s="236"/>
      <c r="F605" s="236"/>
    </row>
    <row r="606" spans="5:6">
      <c r="E606" s="236"/>
      <c r="F606" s="236"/>
    </row>
    <row r="607" spans="5:6">
      <c r="E607" s="236"/>
      <c r="F607" s="236"/>
    </row>
    <row r="608" spans="5:6">
      <c r="E608" s="236"/>
      <c r="F608" s="236"/>
    </row>
    <row r="609" spans="5:6">
      <c r="E609" s="236"/>
      <c r="F609" s="236"/>
    </row>
    <row r="610" spans="5:6">
      <c r="E610" s="236"/>
      <c r="F610" s="236"/>
    </row>
    <row r="611" spans="5:6">
      <c r="E611" s="236"/>
      <c r="F611" s="236"/>
    </row>
    <row r="612" spans="5:6">
      <c r="E612" s="236"/>
      <c r="F612" s="236"/>
    </row>
    <row r="613" spans="5:6">
      <c r="E613" s="236"/>
      <c r="F613" s="236"/>
    </row>
    <row r="614" spans="5:6">
      <c r="E614" s="236"/>
      <c r="F614" s="236"/>
    </row>
    <row r="615" spans="5:6">
      <c r="E615" s="236"/>
      <c r="F615" s="236"/>
    </row>
    <row r="616" spans="5:6">
      <c r="E616" s="236"/>
      <c r="F616" s="236"/>
    </row>
    <row r="617" spans="5:6">
      <c r="E617" s="236"/>
      <c r="F617" s="236"/>
    </row>
    <row r="618" spans="5:6">
      <c r="E618" s="236"/>
      <c r="F618" s="236"/>
    </row>
    <row r="619" spans="5:6">
      <c r="E619" s="236"/>
      <c r="F619" s="236"/>
    </row>
    <row r="620" spans="5:6">
      <c r="E620" s="236"/>
      <c r="F620" s="236"/>
    </row>
    <row r="621" spans="5:6">
      <c r="E621" s="236"/>
      <c r="F621" s="236"/>
    </row>
    <row r="622" spans="5:6">
      <c r="E622" s="236"/>
      <c r="F622" s="236"/>
    </row>
    <row r="623" spans="5:6">
      <c r="E623" s="236"/>
      <c r="F623" s="236"/>
    </row>
    <row r="624" spans="5:6">
      <c r="E624" s="236"/>
      <c r="F624" s="236"/>
    </row>
    <row r="625" spans="5:6">
      <c r="E625" s="236"/>
      <c r="F625" s="236"/>
    </row>
    <row r="626" spans="5:6">
      <c r="E626" s="236"/>
      <c r="F626" s="236"/>
    </row>
    <row r="627" spans="5:6">
      <c r="E627" s="236"/>
      <c r="F627" s="236"/>
    </row>
    <row r="628" spans="5:6">
      <c r="E628" s="236"/>
      <c r="F628" s="236"/>
    </row>
    <row r="629" spans="5:6">
      <c r="E629" s="236"/>
      <c r="F629" s="236"/>
    </row>
    <row r="630" spans="5:6">
      <c r="E630" s="236"/>
      <c r="F630" s="236"/>
    </row>
    <row r="631" spans="5:6">
      <c r="E631" s="236"/>
      <c r="F631" s="236"/>
    </row>
    <row r="632" spans="5:6">
      <c r="E632" s="236"/>
      <c r="F632" s="236"/>
    </row>
    <row r="633" spans="5:6">
      <c r="E633" s="236"/>
      <c r="F633" s="236"/>
    </row>
    <row r="634" spans="5:6">
      <c r="E634" s="236"/>
      <c r="F634" s="236"/>
    </row>
    <row r="635" spans="5:6">
      <c r="E635" s="236"/>
      <c r="F635" s="236"/>
    </row>
    <row r="636" spans="5:6">
      <c r="E636" s="236"/>
      <c r="F636" s="236"/>
    </row>
    <row r="637" spans="5:6">
      <c r="E637" s="236"/>
      <c r="F637" s="236"/>
    </row>
    <row r="638" spans="5:6">
      <c r="E638" s="236"/>
      <c r="F638" s="236"/>
    </row>
    <row r="639" spans="5:6">
      <c r="E639" s="236"/>
      <c r="F639" s="236"/>
    </row>
    <row r="640" spans="5:6">
      <c r="E640" s="236"/>
      <c r="F640" s="236"/>
    </row>
    <row r="641" spans="5:6">
      <c r="E641" s="236"/>
      <c r="F641" s="236"/>
    </row>
    <row r="642" spans="5:6">
      <c r="E642" s="236"/>
      <c r="F642" s="236"/>
    </row>
    <row r="643" spans="5:6">
      <c r="E643" s="236"/>
      <c r="F643" s="236"/>
    </row>
    <row r="644" spans="5:6">
      <c r="E644" s="236"/>
      <c r="F644" s="236"/>
    </row>
    <row r="645" spans="5:6">
      <c r="E645" s="236"/>
      <c r="F645" s="236"/>
    </row>
    <row r="646" spans="5:6">
      <c r="E646" s="236"/>
      <c r="F646" s="236"/>
    </row>
    <row r="647" spans="5:6">
      <c r="E647" s="236"/>
      <c r="F647" s="236"/>
    </row>
    <row r="648" spans="5:6">
      <c r="E648" s="236"/>
      <c r="F648" s="236"/>
    </row>
    <row r="649" spans="5:6">
      <c r="E649" s="236"/>
      <c r="F649" s="236"/>
    </row>
    <row r="650" spans="5:6">
      <c r="E650" s="236"/>
      <c r="F650" s="236"/>
    </row>
    <row r="651" spans="5:6">
      <c r="E651" s="236"/>
      <c r="F651" s="236"/>
    </row>
    <row r="652" spans="5:6">
      <c r="E652" s="236"/>
      <c r="F652" s="236"/>
    </row>
    <row r="653" spans="5:6">
      <c r="E653" s="236"/>
      <c r="F653" s="236"/>
    </row>
    <row r="654" spans="5:6">
      <c r="E654" s="236"/>
      <c r="F654" s="236"/>
    </row>
    <row r="655" spans="5:6">
      <c r="E655" s="236"/>
      <c r="F655" s="236"/>
    </row>
    <row r="656" spans="5:6">
      <c r="E656" s="236"/>
      <c r="F656" s="236"/>
    </row>
    <row r="657" spans="5:6">
      <c r="E657" s="236"/>
      <c r="F657" s="236"/>
    </row>
    <row r="658" spans="5:6">
      <c r="E658" s="236"/>
      <c r="F658" s="236"/>
    </row>
    <row r="659" spans="5:6">
      <c r="E659" s="236"/>
      <c r="F659" s="236"/>
    </row>
    <row r="660" spans="5:6">
      <c r="E660" s="236"/>
      <c r="F660" s="236"/>
    </row>
    <row r="661" spans="5:6">
      <c r="E661" s="236"/>
      <c r="F661" s="236"/>
    </row>
    <row r="662" spans="5:6">
      <c r="E662" s="236"/>
      <c r="F662" s="236"/>
    </row>
    <row r="663" spans="5:6">
      <c r="E663" s="236"/>
      <c r="F663" s="236"/>
    </row>
    <row r="664" spans="5:6">
      <c r="E664" s="236"/>
      <c r="F664" s="236"/>
    </row>
    <row r="665" spans="5:6">
      <c r="E665" s="236"/>
      <c r="F665" s="236"/>
    </row>
    <row r="666" spans="5:6">
      <c r="E666" s="236"/>
      <c r="F666" s="236"/>
    </row>
    <row r="667" spans="5:6">
      <c r="E667" s="236"/>
      <c r="F667" s="236"/>
    </row>
    <row r="668" spans="5:6">
      <c r="E668" s="236"/>
      <c r="F668" s="236"/>
    </row>
    <row r="669" spans="5:6">
      <c r="E669" s="236"/>
      <c r="F669" s="236"/>
    </row>
    <row r="670" spans="5:6">
      <c r="E670" s="236"/>
      <c r="F670" s="236"/>
    </row>
    <row r="671" spans="5:6">
      <c r="E671" s="236"/>
      <c r="F671" s="236"/>
    </row>
    <row r="672" spans="5:6">
      <c r="E672" s="236"/>
      <c r="F672" s="236"/>
    </row>
    <row r="673" spans="5:6">
      <c r="E673" s="236"/>
      <c r="F673" s="236"/>
    </row>
    <row r="674" spans="5:6">
      <c r="E674" s="236"/>
      <c r="F674" s="236"/>
    </row>
    <row r="675" spans="5:6">
      <c r="E675" s="236"/>
      <c r="F675" s="236"/>
    </row>
    <row r="676" spans="5:6">
      <c r="E676" s="236"/>
      <c r="F676" s="236"/>
    </row>
    <row r="677" spans="5:6">
      <c r="E677" s="236"/>
      <c r="F677" s="236"/>
    </row>
    <row r="678" spans="5:6">
      <c r="E678" s="236"/>
      <c r="F678" s="236"/>
    </row>
    <row r="679" spans="5:6">
      <c r="E679" s="236"/>
      <c r="F679" s="236"/>
    </row>
    <row r="680" spans="5:6">
      <c r="E680" s="236"/>
      <c r="F680" s="236"/>
    </row>
    <row r="681" spans="5:6">
      <c r="E681" s="236"/>
      <c r="F681" s="236"/>
    </row>
    <row r="682" spans="5:6">
      <c r="E682" s="236"/>
      <c r="F682" s="236"/>
    </row>
    <row r="683" spans="5:6">
      <c r="E683" s="236"/>
      <c r="F683" s="236"/>
    </row>
    <row r="684" spans="5:6">
      <c r="E684" s="236"/>
      <c r="F684" s="236"/>
    </row>
    <row r="685" spans="5:6">
      <c r="E685" s="236"/>
      <c r="F685" s="236"/>
    </row>
    <row r="686" spans="5:6">
      <c r="E686" s="236"/>
      <c r="F686" s="236"/>
    </row>
    <row r="687" spans="5:6">
      <c r="E687" s="236"/>
      <c r="F687" s="236"/>
    </row>
    <row r="688" spans="5:6">
      <c r="E688" s="236"/>
      <c r="F688" s="236"/>
    </row>
    <row r="689" spans="5:6">
      <c r="E689" s="236"/>
      <c r="F689" s="236"/>
    </row>
    <row r="690" spans="5:6">
      <c r="E690" s="236"/>
      <c r="F690" s="236"/>
    </row>
    <row r="691" spans="5:6">
      <c r="E691" s="236"/>
      <c r="F691" s="236"/>
    </row>
    <row r="692" spans="5:6">
      <c r="E692" s="236"/>
      <c r="F692" s="236"/>
    </row>
    <row r="693" spans="5:6">
      <c r="E693" s="236"/>
      <c r="F693" s="236"/>
    </row>
    <row r="694" spans="5:6">
      <c r="E694" s="236"/>
      <c r="F694" s="236"/>
    </row>
    <row r="695" spans="5:6">
      <c r="E695" s="236"/>
      <c r="F695" s="236"/>
    </row>
    <row r="696" spans="5:6">
      <c r="E696" s="236"/>
      <c r="F696" s="236"/>
    </row>
    <row r="697" spans="5:6">
      <c r="E697" s="236"/>
      <c r="F697" s="236"/>
    </row>
    <row r="698" spans="5:6">
      <c r="E698" s="236"/>
      <c r="F698" s="236"/>
    </row>
    <row r="699" spans="5:6">
      <c r="E699" s="236"/>
      <c r="F699" s="236"/>
    </row>
    <row r="700" spans="5:6">
      <c r="E700" s="236"/>
      <c r="F700" s="236"/>
    </row>
    <row r="701" spans="5:6">
      <c r="E701" s="236"/>
      <c r="F701" s="236"/>
    </row>
    <row r="702" spans="5:6">
      <c r="E702" s="236"/>
      <c r="F702" s="236"/>
    </row>
    <row r="703" spans="5:6">
      <c r="E703" s="236"/>
      <c r="F703" s="236"/>
    </row>
    <row r="704" spans="5:6">
      <c r="E704" s="236"/>
      <c r="F704" s="236"/>
    </row>
    <row r="705" spans="5:6">
      <c r="E705" s="236"/>
      <c r="F705" s="236"/>
    </row>
    <row r="706" spans="5:6">
      <c r="E706" s="236"/>
      <c r="F706" s="236"/>
    </row>
    <row r="707" spans="5:6">
      <c r="E707" s="236"/>
      <c r="F707" s="236"/>
    </row>
    <row r="708" spans="5:6">
      <c r="E708" s="236"/>
      <c r="F708" s="236"/>
    </row>
    <row r="709" spans="5:6">
      <c r="E709" s="236"/>
      <c r="F709" s="236"/>
    </row>
    <row r="710" spans="5:6">
      <c r="E710" s="236"/>
      <c r="F710" s="236"/>
    </row>
    <row r="711" spans="5:6">
      <c r="E711" s="236"/>
      <c r="F711" s="236"/>
    </row>
    <row r="712" spans="5:6">
      <c r="E712" s="236"/>
      <c r="F712" s="236"/>
    </row>
    <row r="713" spans="5:6">
      <c r="E713" s="236"/>
      <c r="F713" s="236"/>
    </row>
    <row r="714" spans="5:6">
      <c r="E714" s="236"/>
      <c r="F714" s="236"/>
    </row>
    <row r="715" spans="5:6">
      <c r="E715" s="236"/>
      <c r="F715" s="236"/>
    </row>
    <row r="716" spans="5:6">
      <c r="E716" s="236"/>
      <c r="F716" s="236"/>
    </row>
    <row r="717" spans="5:6">
      <c r="E717" s="236"/>
      <c r="F717" s="236"/>
    </row>
    <row r="718" spans="5:6">
      <c r="E718" s="236"/>
      <c r="F718" s="236"/>
    </row>
    <row r="719" spans="5:6">
      <c r="E719" s="236"/>
      <c r="F719" s="236"/>
    </row>
    <row r="720" spans="5:6">
      <c r="E720" s="236"/>
      <c r="F720" s="236"/>
    </row>
    <row r="721" spans="5:6">
      <c r="E721" s="236"/>
      <c r="F721" s="236"/>
    </row>
    <row r="722" spans="5:6">
      <c r="E722" s="236"/>
      <c r="F722" s="236"/>
    </row>
    <row r="723" spans="5:6">
      <c r="E723" s="236"/>
      <c r="F723" s="236"/>
    </row>
    <row r="724" spans="5:6">
      <c r="E724" s="236"/>
      <c r="F724" s="236"/>
    </row>
    <row r="725" spans="5:6">
      <c r="E725" s="236"/>
      <c r="F725" s="236"/>
    </row>
    <row r="726" spans="5:6">
      <c r="E726" s="236"/>
      <c r="F726" s="236"/>
    </row>
    <row r="727" spans="5:6">
      <c r="E727" s="236"/>
      <c r="F727" s="236"/>
    </row>
    <row r="728" spans="5:6">
      <c r="E728" s="236"/>
      <c r="F728" s="236"/>
    </row>
    <row r="729" spans="5:6">
      <c r="E729" s="236"/>
      <c r="F729" s="236"/>
    </row>
    <row r="730" spans="5:6">
      <c r="E730" s="236"/>
      <c r="F730" s="236"/>
    </row>
    <row r="731" spans="5:6">
      <c r="E731" s="236"/>
      <c r="F731" s="236"/>
    </row>
    <row r="732" spans="5:6">
      <c r="E732" s="236"/>
      <c r="F732" s="236"/>
    </row>
    <row r="733" spans="5:6">
      <c r="E733" s="236"/>
      <c r="F733" s="236"/>
    </row>
    <row r="734" spans="5:6">
      <c r="E734" s="236"/>
      <c r="F734" s="236"/>
    </row>
    <row r="735" spans="5:6">
      <c r="E735" s="236"/>
      <c r="F735" s="236"/>
    </row>
    <row r="736" spans="5:6">
      <c r="E736" s="236"/>
      <c r="F736" s="236"/>
    </row>
    <row r="737" spans="5:6">
      <c r="E737" s="236"/>
      <c r="F737" s="236"/>
    </row>
    <row r="738" spans="5:6">
      <c r="E738" s="236"/>
      <c r="F738" s="236"/>
    </row>
    <row r="739" spans="5:6">
      <c r="E739" s="236"/>
      <c r="F739" s="236"/>
    </row>
    <row r="740" spans="5:6">
      <c r="E740" s="236"/>
      <c r="F740" s="236"/>
    </row>
    <row r="741" spans="5:6">
      <c r="E741" s="236"/>
      <c r="F741" s="236"/>
    </row>
    <row r="742" spans="5:6">
      <c r="E742" s="236"/>
      <c r="F742" s="236"/>
    </row>
    <row r="743" spans="5:6">
      <c r="E743" s="236"/>
      <c r="F743" s="236"/>
    </row>
    <row r="744" spans="5:6">
      <c r="E744" s="236"/>
      <c r="F744" s="236"/>
    </row>
    <row r="745" spans="5:6">
      <c r="E745" s="236"/>
      <c r="F745" s="236"/>
    </row>
    <row r="746" spans="5:6">
      <c r="E746" s="236"/>
      <c r="F746" s="236"/>
    </row>
    <row r="747" spans="5:6">
      <c r="E747" s="236"/>
      <c r="F747" s="236"/>
    </row>
    <row r="748" spans="5:6">
      <c r="E748" s="236"/>
      <c r="F748" s="236"/>
    </row>
    <row r="749" spans="5:6">
      <c r="E749" s="236"/>
      <c r="F749" s="236"/>
    </row>
    <row r="750" spans="5:6">
      <c r="E750" s="236"/>
      <c r="F750" s="236"/>
    </row>
    <row r="751" spans="5:6">
      <c r="E751" s="236"/>
      <c r="F751" s="236"/>
    </row>
    <row r="752" spans="5:6">
      <c r="E752" s="236"/>
      <c r="F752" s="236"/>
    </row>
    <row r="753" spans="5:6">
      <c r="E753" s="236"/>
      <c r="F753" s="236"/>
    </row>
    <row r="754" spans="5:6">
      <c r="E754" s="236"/>
      <c r="F754" s="236"/>
    </row>
    <row r="755" spans="5:6">
      <c r="E755" s="236"/>
      <c r="F755" s="236"/>
    </row>
    <row r="756" spans="5:6">
      <c r="E756" s="236"/>
      <c r="F756" s="236"/>
    </row>
    <row r="757" spans="5:6">
      <c r="E757" s="236"/>
      <c r="F757" s="236"/>
    </row>
    <row r="758" spans="5:6">
      <c r="E758" s="236"/>
      <c r="F758" s="236"/>
    </row>
    <row r="759" spans="5:6">
      <c r="E759" s="236"/>
      <c r="F759" s="236"/>
    </row>
    <row r="760" spans="5:6">
      <c r="E760" s="236"/>
      <c r="F760" s="236"/>
    </row>
    <row r="761" spans="5:6">
      <c r="E761" s="236"/>
      <c r="F761" s="236"/>
    </row>
    <row r="762" spans="5:6">
      <c r="E762" s="236"/>
      <c r="F762" s="236"/>
    </row>
    <row r="763" spans="5:6">
      <c r="E763" s="236"/>
      <c r="F763" s="236"/>
    </row>
    <row r="764" spans="5:6">
      <c r="E764" s="236"/>
      <c r="F764" s="236"/>
    </row>
    <row r="765" spans="5:6">
      <c r="E765" s="236"/>
      <c r="F765" s="236"/>
    </row>
    <row r="766" spans="5:6">
      <c r="E766" s="236"/>
      <c r="F766" s="236"/>
    </row>
    <row r="767" spans="5:6">
      <c r="E767" s="236"/>
      <c r="F767" s="236"/>
    </row>
    <row r="768" spans="5:6">
      <c r="E768" s="236"/>
      <c r="F768" s="236"/>
    </row>
    <row r="769" spans="5:6">
      <c r="E769" s="236"/>
      <c r="F769" s="236"/>
    </row>
    <row r="770" spans="5:6">
      <c r="E770" s="236"/>
      <c r="F770" s="236"/>
    </row>
    <row r="771" spans="5:6">
      <c r="E771" s="236"/>
      <c r="F771" s="236"/>
    </row>
    <row r="772" spans="5:6">
      <c r="E772" s="236"/>
      <c r="F772" s="236"/>
    </row>
    <row r="773" spans="5:6">
      <c r="E773" s="236"/>
      <c r="F773" s="236"/>
    </row>
    <row r="774" spans="5:6">
      <c r="E774" s="236"/>
      <c r="F774" s="236"/>
    </row>
    <row r="775" spans="5:6">
      <c r="E775" s="236"/>
      <c r="F775" s="236"/>
    </row>
    <row r="776" spans="5:6">
      <c r="E776" s="236"/>
      <c r="F776" s="236"/>
    </row>
    <row r="777" spans="5:6">
      <c r="E777" s="236"/>
      <c r="F777" s="236"/>
    </row>
    <row r="778" spans="5:6">
      <c r="E778" s="236"/>
      <c r="F778" s="236"/>
    </row>
    <row r="779" spans="5:6">
      <c r="E779" s="236"/>
      <c r="F779" s="236"/>
    </row>
    <row r="780" spans="5:6">
      <c r="E780" s="236"/>
      <c r="F780" s="236"/>
    </row>
    <row r="781" spans="5:6">
      <c r="E781" s="236"/>
      <c r="F781" s="236"/>
    </row>
    <row r="782" spans="5:6">
      <c r="E782" s="236"/>
      <c r="F782" s="236"/>
    </row>
    <row r="783" spans="5:6">
      <c r="E783" s="236"/>
      <c r="F783" s="236"/>
    </row>
    <row r="784" spans="5:6">
      <c r="E784" s="236"/>
      <c r="F784" s="236"/>
    </row>
    <row r="785" spans="5:6">
      <c r="E785" s="236"/>
      <c r="F785" s="236"/>
    </row>
    <row r="786" spans="5:6">
      <c r="E786" s="236"/>
      <c r="F786" s="236"/>
    </row>
    <row r="787" spans="5:6">
      <c r="E787" s="236"/>
      <c r="F787" s="236"/>
    </row>
    <row r="788" spans="5:6">
      <c r="E788" s="236"/>
      <c r="F788" s="236"/>
    </row>
    <row r="789" spans="5:6">
      <c r="E789" s="236"/>
      <c r="F789" s="236"/>
    </row>
    <row r="790" spans="5:6">
      <c r="E790" s="236"/>
      <c r="F790" s="236"/>
    </row>
    <row r="791" spans="5:6">
      <c r="E791" s="236"/>
      <c r="F791" s="236"/>
    </row>
    <row r="792" spans="5:6">
      <c r="E792" s="236"/>
      <c r="F792" s="236"/>
    </row>
    <row r="793" spans="5:6">
      <c r="E793" s="236"/>
      <c r="F793" s="236"/>
    </row>
    <row r="794" spans="5:6">
      <c r="E794" s="236"/>
      <c r="F794" s="236"/>
    </row>
    <row r="795" spans="5:6">
      <c r="E795" s="236"/>
      <c r="F795" s="236"/>
    </row>
    <row r="796" spans="5:6">
      <c r="E796" s="236"/>
      <c r="F796" s="236"/>
    </row>
    <row r="797" spans="5:6">
      <c r="E797" s="236"/>
      <c r="F797" s="236"/>
    </row>
    <row r="798" spans="5:6">
      <c r="E798" s="236"/>
      <c r="F798" s="236"/>
    </row>
    <row r="799" spans="5:6">
      <c r="E799" s="236"/>
      <c r="F799" s="236"/>
    </row>
    <row r="800" spans="5:6">
      <c r="E800" s="236"/>
      <c r="F800" s="236"/>
    </row>
    <row r="801" spans="5:6">
      <c r="E801" s="236"/>
      <c r="F801" s="236"/>
    </row>
    <row r="802" spans="5:6">
      <c r="E802" s="236"/>
      <c r="F802" s="236"/>
    </row>
    <row r="803" spans="5:6">
      <c r="E803" s="236"/>
      <c r="F803" s="236"/>
    </row>
    <row r="804" spans="5:6">
      <c r="E804" s="236"/>
      <c r="F804" s="236"/>
    </row>
    <row r="805" spans="5:6">
      <c r="E805" s="236"/>
      <c r="F805" s="236"/>
    </row>
    <row r="806" spans="5:6">
      <c r="E806" s="236"/>
      <c r="F806" s="236"/>
    </row>
    <row r="807" spans="5:6">
      <c r="E807" s="236"/>
      <c r="F807" s="236"/>
    </row>
    <row r="808" spans="5:6">
      <c r="E808" s="236"/>
      <c r="F808" s="236"/>
    </row>
    <row r="809" spans="5:6">
      <c r="E809" s="236"/>
      <c r="F809" s="236"/>
    </row>
    <row r="810" spans="5:6">
      <c r="E810" s="236"/>
      <c r="F810" s="236"/>
    </row>
    <row r="811" spans="5:6">
      <c r="E811" s="236"/>
      <c r="F811" s="236"/>
    </row>
    <row r="812" spans="5:6">
      <c r="E812" s="236"/>
      <c r="F812" s="236"/>
    </row>
    <row r="813" spans="5:6">
      <c r="E813" s="236"/>
      <c r="F813" s="236"/>
    </row>
    <row r="814" spans="5:6">
      <c r="E814" s="236"/>
      <c r="F814" s="236"/>
    </row>
    <row r="815" spans="5:6">
      <c r="E815" s="236"/>
      <c r="F815" s="236"/>
    </row>
    <row r="816" spans="5:6">
      <c r="E816" s="236"/>
      <c r="F816" s="236"/>
    </row>
    <row r="817" spans="5:6">
      <c r="E817" s="236"/>
      <c r="F817" s="236"/>
    </row>
    <row r="818" spans="5:6">
      <c r="E818" s="236"/>
      <c r="F818" s="236"/>
    </row>
    <row r="819" spans="5:6">
      <c r="E819" s="236"/>
      <c r="F819" s="236"/>
    </row>
    <row r="820" spans="5:6">
      <c r="E820" s="236"/>
      <c r="F820" s="236"/>
    </row>
    <row r="821" spans="5:6">
      <c r="E821" s="236"/>
      <c r="F821" s="236"/>
    </row>
    <row r="822" spans="5:6">
      <c r="E822" s="236"/>
      <c r="F822" s="236"/>
    </row>
    <row r="823" spans="5:6">
      <c r="E823" s="236"/>
      <c r="F823" s="236"/>
    </row>
    <row r="824" spans="5:6">
      <c r="E824" s="236"/>
      <c r="F824" s="236"/>
    </row>
    <row r="825" spans="5:6">
      <c r="E825" s="236"/>
      <c r="F825" s="236"/>
    </row>
    <row r="826" spans="5:6">
      <c r="E826" s="236"/>
      <c r="F826" s="236"/>
    </row>
    <row r="827" spans="5:6">
      <c r="E827" s="236"/>
      <c r="F827" s="236"/>
    </row>
    <row r="828" spans="5:6">
      <c r="E828" s="236"/>
      <c r="F828" s="236"/>
    </row>
    <row r="829" spans="5:6">
      <c r="E829" s="236"/>
      <c r="F829" s="236"/>
    </row>
    <row r="830" spans="5:6">
      <c r="E830" s="236"/>
      <c r="F830" s="236"/>
    </row>
    <row r="831" spans="5:6">
      <c r="E831" s="236"/>
      <c r="F831" s="236"/>
    </row>
    <row r="832" spans="5:6">
      <c r="E832" s="236"/>
      <c r="F832" s="236"/>
    </row>
    <row r="833" spans="5:6">
      <c r="E833" s="236"/>
      <c r="F833" s="236"/>
    </row>
    <row r="834" spans="5:6">
      <c r="E834" s="236"/>
      <c r="F834" s="236"/>
    </row>
    <row r="835" spans="5:6">
      <c r="E835" s="236"/>
      <c r="F835" s="236"/>
    </row>
    <row r="836" spans="5:6">
      <c r="E836" s="236"/>
      <c r="F836" s="236"/>
    </row>
    <row r="837" spans="5:6">
      <c r="E837" s="236"/>
      <c r="F837" s="236"/>
    </row>
    <row r="838" spans="5:6">
      <c r="E838" s="236"/>
      <c r="F838" s="236"/>
    </row>
    <row r="839" spans="5:6">
      <c r="E839" s="236"/>
      <c r="F839" s="236"/>
    </row>
    <row r="840" spans="5:6">
      <c r="E840" s="236"/>
      <c r="F840" s="236"/>
    </row>
    <row r="841" spans="5:6">
      <c r="E841" s="236"/>
      <c r="F841" s="236"/>
    </row>
    <row r="842" spans="5:6">
      <c r="E842" s="236"/>
      <c r="F842" s="236"/>
    </row>
    <row r="843" spans="5:6">
      <c r="E843" s="236"/>
      <c r="F843" s="236"/>
    </row>
    <row r="844" spans="5:6">
      <c r="E844" s="236"/>
      <c r="F844" s="236"/>
    </row>
    <row r="845" spans="5:6">
      <c r="E845" s="236"/>
      <c r="F845" s="236"/>
    </row>
    <row r="846" spans="5:6">
      <c r="E846" s="236"/>
      <c r="F846" s="236"/>
    </row>
    <row r="847" spans="5:6">
      <c r="E847" s="236"/>
      <c r="F847" s="236"/>
    </row>
    <row r="848" spans="5:6">
      <c r="E848" s="236"/>
      <c r="F848" s="236"/>
    </row>
    <row r="849" spans="5:6">
      <c r="E849" s="236"/>
      <c r="F849" s="236"/>
    </row>
    <row r="850" spans="5:6">
      <c r="E850" s="236"/>
      <c r="F850" s="236"/>
    </row>
    <row r="851" spans="5:6">
      <c r="E851" s="236"/>
      <c r="F851" s="236"/>
    </row>
    <row r="852" spans="5:6">
      <c r="E852" s="236"/>
      <c r="F852" s="236"/>
    </row>
    <row r="853" spans="5:6">
      <c r="E853" s="236"/>
      <c r="F853" s="236"/>
    </row>
    <row r="854" spans="5:6">
      <c r="E854" s="236"/>
      <c r="F854" s="236"/>
    </row>
    <row r="855" spans="5:6">
      <c r="E855" s="236"/>
      <c r="F855" s="236"/>
    </row>
    <row r="856" spans="5:6">
      <c r="E856" s="236"/>
      <c r="F856" s="236"/>
    </row>
    <row r="857" spans="5:6">
      <c r="E857" s="236"/>
      <c r="F857" s="236"/>
    </row>
    <row r="858" spans="5:6">
      <c r="E858" s="236"/>
      <c r="F858" s="236"/>
    </row>
    <row r="859" spans="5:6">
      <c r="E859" s="236"/>
      <c r="F859" s="236"/>
    </row>
    <row r="860" spans="5:6">
      <c r="E860" s="236"/>
      <c r="F860" s="236"/>
    </row>
    <row r="861" spans="5:6">
      <c r="E861" s="236"/>
      <c r="F861" s="236"/>
    </row>
    <row r="862" spans="5:6">
      <c r="E862" s="236"/>
      <c r="F862" s="236"/>
    </row>
    <row r="863" spans="5:6">
      <c r="E863" s="236"/>
      <c r="F863" s="236"/>
    </row>
    <row r="864" spans="5:6">
      <c r="E864" s="236"/>
      <c r="F864" s="236"/>
    </row>
    <row r="865" spans="5:6">
      <c r="E865" s="236"/>
      <c r="F865" s="236"/>
    </row>
    <row r="866" spans="5:6">
      <c r="E866" s="236"/>
      <c r="F866" s="236"/>
    </row>
    <row r="867" spans="5:6">
      <c r="E867" s="236"/>
      <c r="F867" s="236"/>
    </row>
    <row r="868" spans="5:6">
      <c r="E868" s="236"/>
      <c r="F868" s="236"/>
    </row>
    <row r="869" spans="5:6">
      <c r="E869" s="236"/>
      <c r="F869" s="236"/>
    </row>
    <row r="870" spans="5:6">
      <c r="E870" s="236"/>
      <c r="F870" s="236"/>
    </row>
    <row r="871" spans="5:6">
      <c r="E871" s="236"/>
      <c r="F871" s="236"/>
    </row>
    <row r="872" spans="5:6">
      <c r="E872" s="236"/>
      <c r="F872" s="236"/>
    </row>
    <row r="873" spans="5:6">
      <c r="E873" s="236"/>
      <c r="F873" s="236"/>
    </row>
    <row r="874" spans="5:6">
      <c r="E874" s="236"/>
      <c r="F874" s="236"/>
    </row>
    <row r="875" spans="5:6">
      <c r="E875" s="236"/>
      <c r="F875" s="236"/>
    </row>
    <row r="876" spans="5:6">
      <c r="E876" s="236"/>
      <c r="F876" s="236"/>
    </row>
    <row r="877" spans="5:6">
      <c r="E877" s="236"/>
      <c r="F877" s="236"/>
    </row>
    <row r="878" spans="5:6">
      <c r="E878" s="236"/>
      <c r="F878" s="236"/>
    </row>
    <row r="879" spans="5:6">
      <c r="E879" s="236"/>
      <c r="F879" s="236"/>
    </row>
    <row r="880" spans="5:6">
      <c r="E880" s="236"/>
      <c r="F880" s="236"/>
    </row>
    <row r="881" spans="5:6">
      <c r="E881" s="236"/>
      <c r="F881" s="236"/>
    </row>
    <row r="882" spans="5:6">
      <c r="E882" s="236"/>
      <c r="F882" s="236"/>
    </row>
    <row r="883" spans="5:6">
      <c r="E883" s="236"/>
      <c r="F883" s="236"/>
    </row>
    <row r="884" spans="5:6">
      <c r="E884" s="236"/>
      <c r="F884" s="236"/>
    </row>
    <row r="885" spans="5:6">
      <c r="E885" s="236"/>
      <c r="F885" s="236"/>
    </row>
    <row r="886" spans="5:6">
      <c r="E886" s="236"/>
      <c r="F886" s="236"/>
    </row>
    <row r="887" spans="5:6">
      <c r="E887" s="236"/>
      <c r="F887" s="236"/>
    </row>
    <row r="888" spans="5:6">
      <c r="E888" s="236"/>
      <c r="F888" s="236"/>
    </row>
    <row r="889" spans="5:6">
      <c r="E889" s="236"/>
      <c r="F889" s="236"/>
    </row>
    <row r="890" spans="5:6">
      <c r="E890" s="236"/>
      <c r="F890" s="236"/>
    </row>
    <row r="891" spans="5:6">
      <c r="E891" s="236"/>
      <c r="F891" s="236"/>
    </row>
    <row r="892" spans="5:6">
      <c r="E892" s="236"/>
      <c r="F892" s="236"/>
    </row>
    <row r="893" spans="5:6">
      <c r="E893" s="236"/>
      <c r="F893" s="236"/>
    </row>
    <row r="894" spans="5:6">
      <c r="E894" s="236"/>
      <c r="F894" s="236"/>
    </row>
    <row r="895" spans="5:6">
      <c r="E895" s="236"/>
      <c r="F895" s="236"/>
    </row>
    <row r="896" spans="5:6">
      <c r="E896" s="236"/>
      <c r="F896" s="236"/>
    </row>
    <row r="897" spans="5:6">
      <c r="E897" s="236"/>
      <c r="F897" s="236"/>
    </row>
    <row r="898" spans="5:6">
      <c r="E898" s="236"/>
      <c r="F898" s="236"/>
    </row>
    <row r="899" spans="5:6">
      <c r="E899" s="236"/>
      <c r="F899" s="236"/>
    </row>
    <row r="900" spans="5:6">
      <c r="E900" s="236"/>
      <c r="F900" s="236"/>
    </row>
    <row r="901" spans="5:6">
      <c r="E901" s="236"/>
      <c r="F901" s="236"/>
    </row>
    <row r="902" spans="5:6">
      <c r="E902" s="236"/>
      <c r="F902" s="236"/>
    </row>
    <row r="903" spans="5:6">
      <c r="E903" s="236"/>
      <c r="F903" s="236"/>
    </row>
    <row r="904" spans="5:6">
      <c r="E904" s="236"/>
      <c r="F904" s="236"/>
    </row>
    <row r="905" spans="5:6">
      <c r="E905" s="236"/>
      <c r="F905" s="236"/>
    </row>
    <row r="906" spans="5:6">
      <c r="E906" s="236"/>
      <c r="F906" s="236"/>
    </row>
    <row r="907" spans="5:6">
      <c r="E907" s="236"/>
      <c r="F907" s="236"/>
    </row>
    <row r="908" spans="5:6">
      <c r="E908" s="236"/>
      <c r="F908" s="236"/>
    </row>
    <row r="909" spans="5:6">
      <c r="E909" s="236"/>
      <c r="F909" s="236"/>
    </row>
    <row r="910" spans="5:6">
      <c r="E910" s="236"/>
      <c r="F910" s="236"/>
    </row>
    <row r="911" spans="5:6">
      <c r="E911" s="236"/>
      <c r="F911" s="236"/>
    </row>
    <row r="912" spans="5:6">
      <c r="E912" s="236"/>
      <c r="F912" s="236"/>
    </row>
    <row r="913" spans="5:6">
      <c r="E913" s="236"/>
      <c r="F913" s="236"/>
    </row>
    <row r="914" spans="5:6">
      <c r="E914" s="236"/>
      <c r="F914" s="236"/>
    </row>
    <row r="915" spans="5:6">
      <c r="E915" s="236"/>
      <c r="F915" s="236"/>
    </row>
    <row r="916" spans="5:6">
      <c r="E916" s="236"/>
      <c r="F916" s="236"/>
    </row>
    <row r="917" spans="5:6">
      <c r="E917" s="236"/>
      <c r="F917" s="236"/>
    </row>
    <row r="918" spans="5:6">
      <c r="E918" s="236"/>
      <c r="F918" s="236"/>
    </row>
    <row r="919" spans="5:6">
      <c r="E919" s="236"/>
      <c r="F919" s="236"/>
    </row>
    <row r="920" spans="5:6">
      <c r="E920" s="236"/>
      <c r="F920" s="236"/>
    </row>
    <row r="921" spans="5:6">
      <c r="E921" s="236"/>
      <c r="F921" s="236"/>
    </row>
    <row r="922" spans="5:6">
      <c r="E922" s="236"/>
      <c r="F922" s="236"/>
    </row>
    <row r="923" spans="5:6">
      <c r="E923" s="236"/>
      <c r="F923" s="236"/>
    </row>
    <row r="924" spans="5:6">
      <c r="E924" s="236"/>
      <c r="F924" s="236"/>
    </row>
    <row r="925" spans="5:6">
      <c r="E925" s="236"/>
      <c r="F925" s="236"/>
    </row>
    <row r="926" spans="5:6">
      <c r="E926" s="236"/>
      <c r="F926" s="236"/>
    </row>
    <row r="927" spans="5:6">
      <c r="E927" s="236"/>
      <c r="F927" s="236"/>
    </row>
    <row r="928" spans="5:6">
      <c r="E928" s="236"/>
      <c r="F928" s="236"/>
    </row>
    <row r="929" spans="5:6">
      <c r="E929" s="236"/>
      <c r="F929" s="236"/>
    </row>
    <row r="930" spans="5:6">
      <c r="E930" s="236"/>
      <c r="F930" s="236"/>
    </row>
    <row r="931" spans="5:6">
      <c r="E931" s="236"/>
      <c r="F931" s="236"/>
    </row>
    <row r="932" spans="5:6">
      <c r="E932" s="236"/>
      <c r="F932" s="236"/>
    </row>
    <row r="933" spans="5:6">
      <c r="E933" s="236"/>
      <c r="F933" s="236"/>
    </row>
    <row r="934" spans="5:6">
      <c r="E934" s="236"/>
      <c r="F934" s="236"/>
    </row>
    <row r="935" spans="5:6">
      <c r="E935" s="236"/>
      <c r="F935" s="236"/>
    </row>
    <row r="936" spans="5:6">
      <c r="E936" s="236"/>
      <c r="F936" s="236"/>
    </row>
    <row r="937" spans="5:6">
      <c r="E937" s="236"/>
      <c r="F937" s="236"/>
    </row>
    <row r="938" spans="5:6">
      <c r="E938" s="236"/>
      <c r="F938" s="236"/>
    </row>
    <row r="939" spans="5:6">
      <c r="E939" s="236"/>
      <c r="F939" s="236"/>
    </row>
    <row r="940" spans="5:6">
      <c r="E940" s="236"/>
      <c r="F940" s="236"/>
    </row>
    <row r="941" spans="5:6">
      <c r="E941" s="236"/>
      <c r="F941" s="236"/>
    </row>
    <row r="942" spans="5:6">
      <c r="E942" s="236"/>
      <c r="F942" s="236"/>
    </row>
    <row r="943" spans="5:6">
      <c r="E943" s="236"/>
      <c r="F943" s="236"/>
    </row>
    <row r="944" spans="5:6">
      <c r="E944" s="236"/>
      <c r="F944" s="236"/>
    </row>
    <row r="945" spans="5:6">
      <c r="E945" s="236"/>
      <c r="F945" s="236"/>
    </row>
    <row r="946" spans="5:6">
      <c r="E946" s="236"/>
      <c r="F946" s="236"/>
    </row>
    <row r="947" spans="5:6">
      <c r="E947" s="236"/>
      <c r="F947" s="236"/>
    </row>
    <row r="948" spans="5:6">
      <c r="E948" s="236"/>
      <c r="F948" s="236"/>
    </row>
    <row r="949" spans="5:6">
      <c r="E949" s="236"/>
      <c r="F949" s="236"/>
    </row>
    <row r="950" spans="5:6">
      <c r="E950" s="236"/>
      <c r="F950" s="236"/>
    </row>
    <row r="951" spans="5:6">
      <c r="E951" s="236"/>
      <c r="F951" s="236"/>
    </row>
    <row r="952" spans="5:6">
      <c r="E952" s="236"/>
      <c r="F952" s="236"/>
    </row>
    <row r="953" spans="5:6">
      <c r="E953" s="236"/>
      <c r="F953" s="236"/>
    </row>
    <row r="954" spans="5:6">
      <c r="E954" s="236"/>
      <c r="F954" s="236"/>
    </row>
    <row r="955" spans="5:6">
      <c r="E955" s="236"/>
      <c r="F955" s="236"/>
    </row>
    <row r="956" spans="5:6">
      <c r="E956" s="236"/>
      <c r="F956" s="236"/>
    </row>
    <row r="957" spans="5:6">
      <c r="E957" s="236"/>
      <c r="F957" s="236"/>
    </row>
    <row r="958" spans="5:6">
      <c r="E958" s="236"/>
      <c r="F958" s="236"/>
    </row>
    <row r="959" spans="5:6">
      <c r="E959" s="236"/>
      <c r="F959" s="236"/>
    </row>
    <row r="960" spans="5:6">
      <c r="E960" s="236"/>
      <c r="F960" s="236"/>
    </row>
    <row r="961" spans="5:6">
      <c r="E961" s="236"/>
      <c r="F961" s="236"/>
    </row>
    <row r="962" spans="5:6">
      <c r="E962" s="236"/>
      <c r="F962" s="236"/>
    </row>
    <row r="963" spans="5:6">
      <c r="E963" s="236"/>
      <c r="F963" s="236"/>
    </row>
    <row r="964" spans="5:6">
      <c r="E964" s="236"/>
      <c r="F964" s="236"/>
    </row>
    <row r="965" spans="5:6">
      <c r="E965" s="236"/>
      <c r="F965" s="236"/>
    </row>
    <row r="966" spans="5:6">
      <c r="E966" s="236"/>
      <c r="F966" s="236"/>
    </row>
    <row r="967" spans="5:6">
      <c r="E967" s="236"/>
      <c r="F967" s="236"/>
    </row>
    <row r="968" spans="5:6">
      <c r="E968" s="236"/>
      <c r="F968" s="236"/>
    </row>
    <row r="969" spans="5:6">
      <c r="E969" s="236"/>
      <c r="F969" s="236"/>
    </row>
    <row r="970" spans="5:6">
      <c r="E970" s="236"/>
      <c r="F970" s="236"/>
    </row>
    <row r="971" spans="5:6">
      <c r="E971" s="236"/>
      <c r="F971" s="236"/>
    </row>
    <row r="972" spans="5:6">
      <c r="E972" s="236"/>
      <c r="F972" s="236"/>
    </row>
    <row r="973" spans="5:6">
      <c r="E973" s="236"/>
      <c r="F973" s="236"/>
    </row>
    <row r="974" spans="5:6">
      <c r="E974" s="236"/>
      <c r="F974" s="236"/>
    </row>
    <row r="975" spans="5:6">
      <c r="E975" s="236"/>
      <c r="F975" s="236"/>
    </row>
    <row r="976" spans="5:6">
      <c r="E976" s="236"/>
      <c r="F976" s="236"/>
    </row>
    <row r="977" spans="5:6">
      <c r="E977" s="236"/>
      <c r="F977" s="236"/>
    </row>
    <row r="978" spans="5:6">
      <c r="E978" s="236"/>
      <c r="F978" s="236"/>
    </row>
    <row r="979" spans="5:6">
      <c r="E979" s="236"/>
      <c r="F979" s="236"/>
    </row>
    <row r="980" spans="5:6">
      <c r="E980" s="236"/>
      <c r="F980" s="236"/>
    </row>
    <row r="981" spans="5:6">
      <c r="E981" s="236"/>
      <c r="F981" s="236"/>
    </row>
    <row r="982" spans="5:6">
      <c r="E982" s="236"/>
      <c r="F982" s="236"/>
    </row>
    <row r="983" spans="5:6">
      <c r="E983" s="236"/>
      <c r="F983" s="236"/>
    </row>
    <row r="984" spans="5:6">
      <c r="E984" s="236"/>
      <c r="F984" s="236"/>
    </row>
    <row r="985" spans="5:6">
      <c r="E985" s="236"/>
      <c r="F985" s="236"/>
    </row>
    <row r="986" spans="5:6">
      <c r="E986" s="236"/>
      <c r="F986" s="236"/>
    </row>
    <row r="987" spans="5:6">
      <c r="E987" s="236"/>
      <c r="F987" s="236"/>
    </row>
    <row r="988" spans="5:6">
      <c r="E988" s="236"/>
      <c r="F988" s="236"/>
    </row>
    <row r="989" spans="5:6">
      <c r="E989" s="236"/>
      <c r="F989" s="236"/>
    </row>
    <row r="990" spans="5:6">
      <c r="E990" s="236"/>
      <c r="F990" s="236"/>
    </row>
    <row r="991" spans="5:6">
      <c r="E991" s="236"/>
      <c r="F991" s="236"/>
    </row>
    <row r="992" spans="5:6">
      <c r="E992" s="236"/>
      <c r="F992" s="236"/>
    </row>
    <row r="993" spans="5:6">
      <c r="E993" s="236"/>
      <c r="F993" s="236"/>
    </row>
    <row r="994" spans="5:6">
      <c r="E994" s="236"/>
      <c r="F994" s="236"/>
    </row>
    <row r="995" spans="5:6">
      <c r="E995" s="236"/>
      <c r="F995" s="236"/>
    </row>
    <row r="996" spans="5:6">
      <c r="E996" s="236"/>
      <c r="F996" s="236"/>
    </row>
    <row r="997" spans="5:6">
      <c r="E997" s="236"/>
      <c r="F997" s="236"/>
    </row>
    <row r="998" spans="5:6">
      <c r="E998" s="236"/>
      <c r="F998" s="236"/>
    </row>
    <row r="999" spans="5:6">
      <c r="E999" s="236"/>
      <c r="F999" s="236"/>
    </row>
    <row r="1000" spans="5:6">
      <c r="E1000" s="236"/>
      <c r="F1000" s="236"/>
    </row>
    <row r="1001" spans="5:6">
      <c r="E1001" s="236"/>
      <c r="F1001" s="236"/>
    </row>
    <row r="1002" spans="5:6">
      <c r="E1002" s="236"/>
      <c r="F1002" s="236"/>
    </row>
    <row r="1003" spans="5:6">
      <c r="E1003" s="236"/>
      <c r="F1003" s="236"/>
    </row>
    <row r="1004" spans="5:6">
      <c r="E1004" s="236"/>
      <c r="F1004" s="236"/>
    </row>
    <row r="1005" spans="5:6">
      <c r="E1005" s="236"/>
      <c r="F1005" s="236"/>
    </row>
    <row r="1006" spans="5:6">
      <c r="E1006" s="236"/>
      <c r="F1006" s="236"/>
    </row>
    <row r="1007" spans="5:6">
      <c r="E1007" s="236"/>
      <c r="F1007" s="236"/>
    </row>
    <row r="1008" spans="5:6">
      <c r="E1008" s="236"/>
      <c r="F1008" s="236"/>
    </row>
    <row r="1009" spans="5:6">
      <c r="E1009" s="236"/>
      <c r="F1009" s="236"/>
    </row>
    <row r="1010" spans="5:6">
      <c r="E1010" s="236"/>
      <c r="F1010" s="236"/>
    </row>
    <row r="1011" spans="5:6">
      <c r="E1011" s="236"/>
      <c r="F1011" s="236"/>
    </row>
    <row r="1012" spans="5:6">
      <c r="E1012" s="236"/>
      <c r="F1012" s="236"/>
    </row>
    <row r="1013" spans="5:6">
      <c r="E1013" s="236"/>
      <c r="F1013" s="236"/>
    </row>
    <row r="1014" spans="5:6">
      <c r="E1014" s="236"/>
      <c r="F1014" s="236"/>
    </row>
    <row r="1015" spans="5:6">
      <c r="E1015" s="236"/>
      <c r="F1015" s="236"/>
    </row>
    <row r="1016" spans="5:6">
      <c r="E1016" s="236"/>
      <c r="F1016" s="236"/>
    </row>
    <row r="1017" spans="5:6">
      <c r="E1017" s="236"/>
      <c r="F1017" s="236"/>
    </row>
    <row r="1018" spans="5:6">
      <c r="E1018" s="236"/>
      <c r="F1018" s="236"/>
    </row>
    <row r="1019" spans="5:6">
      <c r="E1019" s="236"/>
      <c r="F1019" s="236"/>
    </row>
    <row r="1020" spans="5:6">
      <c r="E1020" s="236"/>
      <c r="F1020" s="236"/>
    </row>
    <row r="1021" spans="5:6">
      <c r="E1021" s="236"/>
      <c r="F1021" s="236"/>
    </row>
    <row r="1022" spans="5:6">
      <c r="E1022" s="236"/>
      <c r="F1022" s="236"/>
    </row>
    <row r="1023" spans="5:6">
      <c r="E1023" s="236"/>
      <c r="F1023" s="236"/>
    </row>
    <row r="1024" spans="5:6">
      <c r="E1024" s="236"/>
      <c r="F1024" s="236"/>
    </row>
    <row r="1025" spans="5:6">
      <c r="E1025" s="236"/>
      <c r="F1025" s="236"/>
    </row>
    <row r="1026" spans="5:6">
      <c r="E1026" s="236"/>
      <c r="F1026" s="236"/>
    </row>
    <row r="1027" spans="5:6">
      <c r="E1027" s="236"/>
      <c r="F1027" s="236"/>
    </row>
    <row r="1028" spans="5:6">
      <c r="E1028" s="236"/>
      <c r="F1028" s="236"/>
    </row>
    <row r="1029" spans="5:6">
      <c r="E1029" s="236"/>
      <c r="F1029" s="236"/>
    </row>
    <row r="1030" spans="5:6">
      <c r="E1030" s="236"/>
      <c r="F1030" s="236"/>
    </row>
    <row r="1031" spans="5:6">
      <c r="E1031" s="236"/>
      <c r="F1031" s="236"/>
    </row>
    <row r="1032" spans="5:6">
      <c r="E1032" s="236"/>
      <c r="F1032" s="236"/>
    </row>
    <row r="1033" spans="5:6">
      <c r="E1033" s="236"/>
      <c r="F1033" s="236"/>
    </row>
    <row r="1034" spans="5:6">
      <c r="E1034" s="236"/>
      <c r="F1034" s="236"/>
    </row>
    <row r="1035" spans="5:6">
      <c r="E1035" s="236"/>
      <c r="F1035" s="236"/>
    </row>
    <row r="1036" spans="5:6">
      <c r="E1036" s="236"/>
      <c r="F1036" s="236"/>
    </row>
    <row r="1037" spans="5:6">
      <c r="E1037" s="236"/>
      <c r="F1037" s="236"/>
    </row>
    <row r="1038" spans="5:6">
      <c r="E1038" s="236"/>
      <c r="F1038" s="236"/>
    </row>
    <row r="1039" spans="5:6">
      <c r="E1039" s="236"/>
      <c r="F1039" s="236"/>
    </row>
    <row r="1040" spans="5:6">
      <c r="E1040" s="236"/>
      <c r="F1040" s="236"/>
    </row>
    <row r="1041" spans="5:6">
      <c r="E1041" s="236"/>
      <c r="F1041" s="236"/>
    </row>
    <row r="1042" spans="5:6">
      <c r="E1042" s="236"/>
      <c r="F1042" s="236"/>
    </row>
    <row r="1043" spans="5:6">
      <c r="E1043" s="236"/>
      <c r="F1043" s="236"/>
    </row>
    <row r="1044" spans="5:6">
      <c r="E1044" s="236"/>
      <c r="F1044" s="236"/>
    </row>
    <row r="1045" spans="5:6">
      <c r="E1045" s="236"/>
      <c r="F1045" s="236"/>
    </row>
    <row r="1046" spans="5:6">
      <c r="E1046" s="236"/>
      <c r="F1046" s="236"/>
    </row>
    <row r="1047" spans="5:6">
      <c r="E1047" s="236"/>
      <c r="F1047" s="236"/>
    </row>
    <row r="1048" spans="5:6">
      <c r="E1048" s="236"/>
      <c r="F1048" s="236"/>
    </row>
    <row r="1049" spans="5:6">
      <c r="E1049" s="236"/>
      <c r="F1049" s="236"/>
    </row>
    <row r="1050" spans="5:6">
      <c r="E1050" s="236"/>
      <c r="F1050" s="236"/>
    </row>
    <row r="1051" spans="5:6">
      <c r="E1051" s="236"/>
      <c r="F1051" s="236"/>
    </row>
    <row r="1052" spans="5:6">
      <c r="E1052" s="236"/>
      <c r="F1052" s="236"/>
    </row>
    <row r="1053" spans="5:6">
      <c r="E1053" s="236"/>
      <c r="F1053" s="236"/>
    </row>
    <row r="1054" spans="5:6">
      <c r="E1054" s="236"/>
      <c r="F1054" s="236"/>
    </row>
    <row r="1055" spans="5:6">
      <c r="E1055" s="236"/>
      <c r="F1055" s="236"/>
    </row>
    <row r="1056" spans="5:6">
      <c r="E1056" s="236"/>
      <c r="F1056" s="236"/>
    </row>
    <row r="1057" spans="5:6">
      <c r="E1057" s="236"/>
      <c r="F1057" s="236"/>
    </row>
    <row r="1058" spans="5:6">
      <c r="E1058" s="236"/>
      <c r="F1058" s="236"/>
    </row>
    <row r="1059" spans="5:6">
      <c r="E1059" s="236"/>
      <c r="F1059" s="236"/>
    </row>
    <row r="1060" spans="5:6">
      <c r="E1060" s="236"/>
      <c r="F1060" s="236"/>
    </row>
    <row r="1061" spans="5:6">
      <c r="E1061" s="236"/>
      <c r="F1061" s="236"/>
    </row>
    <row r="1062" spans="5:6">
      <c r="E1062" s="236"/>
      <c r="F1062" s="236"/>
    </row>
    <row r="1063" spans="5:6">
      <c r="E1063" s="236"/>
      <c r="F1063" s="236"/>
    </row>
    <row r="1064" spans="5:6">
      <c r="E1064" s="236"/>
      <c r="F1064" s="236"/>
    </row>
    <row r="1065" spans="5:6">
      <c r="E1065" s="236"/>
      <c r="F1065" s="236"/>
    </row>
    <row r="1066" spans="5:6">
      <c r="E1066" s="236"/>
      <c r="F1066" s="236"/>
    </row>
    <row r="1067" spans="5:6">
      <c r="E1067" s="236"/>
      <c r="F1067" s="236"/>
    </row>
    <row r="1068" spans="5:6">
      <c r="E1068" s="236"/>
      <c r="F1068" s="236"/>
    </row>
    <row r="1069" spans="5:6">
      <c r="E1069" s="236"/>
      <c r="F1069" s="236"/>
    </row>
    <row r="1070" spans="5:6">
      <c r="E1070" s="236"/>
      <c r="F1070" s="236"/>
    </row>
    <row r="1071" spans="5:6">
      <c r="E1071" s="236"/>
      <c r="F1071" s="236"/>
    </row>
    <row r="1072" spans="5:6">
      <c r="E1072" s="236"/>
      <c r="F1072" s="236"/>
    </row>
    <row r="1073" spans="5:6">
      <c r="E1073" s="236"/>
      <c r="F1073" s="236"/>
    </row>
    <row r="1074" spans="5:6">
      <c r="E1074" s="236"/>
      <c r="F1074" s="236"/>
    </row>
    <row r="1075" spans="5:6">
      <c r="E1075" s="236"/>
      <c r="F1075" s="236"/>
    </row>
    <row r="1076" spans="5:6">
      <c r="E1076" s="236"/>
      <c r="F1076" s="236"/>
    </row>
    <row r="1077" spans="5:6">
      <c r="E1077" s="236"/>
      <c r="F1077" s="236"/>
    </row>
    <row r="1078" spans="5:6">
      <c r="E1078" s="236"/>
      <c r="F1078" s="236"/>
    </row>
    <row r="1079" spans="5:6">
      <c r="E1079" s="236"/>
      <c r="F1079" s="236"/>
    </row>
    <row r="1080" spans="5:6">
      <c r="E1080" s="236"/>
      <c r="F1080" s="236"/>
    </row>
    <row r="1081" spans="5:6">
      <c r="E1081" s="236"/>
      <c r="F1081" s="236"/>
    </row>
    <row r="1082" spans="5:6">
      <c r="E1082" s="236"/>
      <c r="F1082" s="236"/>
    </row>
    <row r="1083" spans="5:6">
      <c r="E1083" s="236"/>
      <c r="F1083" s="236"/>
    </row>
    <row r="1084" spans="5:6">
      <c r="E1084" s="236"/>
      <c r="F1084" s="236"/>
    </row>
    <row r="1085" spans="5:6">
      <c r="E1085" s="236"/>
      <c r="F1085" s="236"/>
    </row>
    <row r="1086" spans="5:6">
      <c r="E1086" s="236"/>
      <c r="F1086" s="236"/>
    </row>
    <row r="1087" spans="5:6">
      <c r="E1087" s="236"/>
      <c r="F1087" s="236"/>
    </row>
    <row r="1088" spans="5:6">
      <c r="E1088" s="236"/>
      <c r="F1088" s="236"/>
    </row>
    <row r="1089" spans="5:6">
      <c r="E1089" s="236"/>
      <c r="F1089" s="236"/>
    </row>
    <row r="1090" spans="5:6">
      <c r="E1090" s="236"/>
      <c r="F1090" s="236"/>
    </row>
    <row r="1091" spans="5:6">
      <c r="E1091" s="236"/>
      <c r="F1091" s="236"/>
    </row>
    <row r="1092" spans="5:6">
      <c r="E1092" s="236"/>
      <c r="F1092" s="236"/>
    </row>
    <row r="1093" spans="5:6">
      <c r="E1093" s="236"/>
      <c r="F1093" s="236"/>
    </row>
    <row r="1094" spans="5:6">
      <c r="E1094" s="236"/>
      <c r="F1094" s="236"/>
    </row>
    <row r="1095" spans="5:6">
      <c r="E1095" s="236"/>
      <c r="F1095" s="236"/>
    </row>
    <row r="1096" spans="5:6">
      <c r="E1096" s="236"/>
      <c r="F1096" s="236"/>
    </row>
    <row r="1097" spans="5:6">
      <c r="E1097" s="236"/>
      <c r="F1097" s="236"/>
    </row>
    <row r="1098" spans="5:6">
      <c r="E1098" s="236"/>
      <c r="F1098" s="236"/>
    </row>
    <row r="1099" spans="5:6">
      <c r="E1099" s="236"/>
      <c r="F1099" s="236"/>
    </row>
    <row r="1100" spans="5:6">
      <c r="E1100" s="236"/>
      <c r="F1100" s="236"/>
    </row>
    <row r="1101" spans="5:6">
      <c r="E1101" s="236"/>
      <c r="F1101" s="236"/>
    </row>
    <row r="1102" spans="5:6">
      <c r="E1102" s="236"/>
      <c r="F1102" s="236"/>
    </row>
    <row r="1103" spans="5:6">
      <c r="E1103" s="236"/>
      <c r="F1103" s="236"/>
    </row>
    <row r="1104" spans="5:6">
      <c r="E1104" s="236"/>
      <c r="F1104" s="236"/>
    </row>
    <row r="1105" spans="5:6">
      <c r="E1105" s="236"/>
      <c r="F1105" s="236"/>
    </row>
    <row r="1106" spans="5:6">
      <c r="E1106" s="236"/>
      <c r="F1106" s="236"/>
    </row>
    <row r="1107" spans="5:6">
      <c r="E1107" s="236"/>
      <c r="F1107" s="236"/>
    </row>
    <row r="1108" spans="5:6">
      <c r="E1108" s="236"/>
      <c r="F1108" s="236"/>
    </row>
    <row r="1109" spans="5:6">
      <c r="E1109" s="236"/>
      <c r="F1109" s="236"/>
    </row>
    <row r="1110" spans="5:6">
      <c r="E1110" s="236"/>
      <c r="F1110" s="236"/>
    </row>
    <row r="1111" spans="5:6">
      <c r="E1111" s="236"/>
      <c r="F1111" s="236"/>
    </row>
    <row r="1112" spans="5:6">
      <c r="E1112" s="236"/>
      <c r="F1112" s="236"/>
    </row>
    <row r="1113" spans="5:6">
      <c r="E1113" s="236"/>
      <c r="F1113" s="236"/>
    </row>
    <row r="1114" spans="5:6">
      <c r="E1114" s="236"/>
      <c r="F1114" s="236"/>
    </row>
    <row r="1115" spans="5:6">
      <c r="E1115" s="236"/>
      <c r="F1115" s="236"/>
    </row>
    <row r="1116" spans="5:6">
      <c r="E1116" s="236"/>
      <c r="F1116" s="236"/>
    </row>
    <row r="1117" spans="5:6">
      <c r="E1117" s="236"/>
      <c r="F1117" s="236"/>
    </row>
    <row r="1118" spans="5:6">
      <c r="E1118" s="236"/>
      <c r="F1118" s="236"/>
    </row>
    <row r="1119" spans="5:6">
      <c r="E1119" s="236"/>
      <c r="F1119" s="236"/>
    </row>
    <row r="1120" spans="5:6">
      <c r="E1120" s="236"/>
      <c r="F1120" s="236"/>
    </row>
    <row r="1121" spans="5:6">
      <c r="E1121" s="236"/>
      <c r="F1121" s="236"/>
    </row>
    <row r="1122" spans="5:6">
      <c r="E1122" s="236"/>
      <c r="F1122" s="236"/>
    </row>
    <row r="1123" spans="5:6">
      <c r="E1123" s="236"/>
      <c r="F1123" s="236"/>
    </row>
    <row r="1124" spans="5:6">
      <c r="E1124" s="236"/>
      <c r="F1124" s="236"/>
    </row>
    <row r="1125" spans="5:6">
      <c r="E1125" s="236"/>
      <c r="F1125" s="236"/>
    </row>
    <row r="1126" spans="5:6">
      <c r="E1126" s="236"/>
      <c r="F1126" s="236"/>
    </row>
    <row r="1127" spans="5:6">
      <c r="E1127" s="236"/>
      <c r="F1127" s="236"/>
    </row>
    <row r="1128" spans="5:6">
      <c r="E1128" s="236"/>
      <c r="F1128" s="236"/>
    </row>
    <row r="1129" spans="5:6">
      <c r="E1129" s="236"/>
      <c r="F1129" s="236"/>
    </row>
    <row r="1130" spans="5:6">
      <c r="E1130" s="236"/>
      <c r="F1130" s="236"/>
    </row>
    <row r="1131" spans="5:6">
      <c r="E1131" s="236"/>
      <c r="F1131" s="236"/>
    </row>
    <row r="1132" spans="5:6">
      <c r="E1132" s="236"/>
      <c r="F1132" s="236"/>
    </row>
    <row r="1133" spans="5:6">
      <c r="E1133" s="236"/>
      <c r="F1133" s="236"/>
    </row>
    <row r="1134" spans="5:6">
      <c r="E1134" s="236"/>
      <c r="F1134" s="236"/>
    </row>
    <row r="1135" spans="5:6">
      <c r="E1135" s="236"/>
      <c r="F1135" s="236"/>
    </row>
    <row r="1136" spans="5:6">
      <c r="E1136" s="236"/>
      <c r="F1136" s="236"/>
    </row>
    <row r="1137" spans="5:6">
      <c r="E1137" s="236"/>
      <c r="F1137" s="236"/>
    </row>
    <row r="1138" spans="5:6">
      <c r="E1138" s="236"/>
      <c r="F1138" s="236"/>
    </row>
    <row r="1139" spans="5:6">
      <c r="E1139" s="236"/>
      <c r="F1139" s="236"/>
    </row>
    <row r="1140" spans="5:6">
      <c r="E1140" s="236"/>
      <c r="F1140" s="236"/>
    </row>
    <row r="1141" spans="5:6">
      <c r="E1141" s="236"/>
      <c r="F1141" s="236"/>
    </row>
    <row r="1142" spans="5:6">
      <c r="E1142" s="236"/>
      <c r="F1142" s="236"/>
    </row>
    <row r="1143" spans="5:6">
      <c r="E1143" s="236"/>
      <c r="F1143" s="236"/>
    </row>
    <row r="1144" spans="5:6">
      <c r="E1144" s="236"/>
      <c r="F1144" s="236"/>
    </row>
    <row r="1145" spans="5:6">
      <c r="E1145" s="236"/>
      <c r="F1145" s="236"/>
    </row>
    <row r="1146" spans="5:6">
      <c r="E1146" s="236"/>
      <c r="F1146" s="236"/>
    </row>
    <row r="1147" spans="5:6">
      <c r="E1147" s="236"/>
      <c r="F1147" s="236"/>
    </row>
    <row r="1148" spans="5:6">
      <c r="E1148" s="236"/>
      <c r="F1148" s="236"/>
    </row>
    <row r="1149" spans="5:6">
      <c r="E1149" s="236"/>
      <c r="F1149" s="236"/>
    </row>
    <row r="1150" spans="5:6">
      <c r="E1150" s="236"/>
      <c r="F1150" s="236"/>
    </row>
    <row r="1151" spans="5:6">
      <c r="E1151" s="236"/>
      <c r="F1151" s="236"/>
    </row>
    <row r="1152" spans="5:6">
      <c r="E1152" s="236"/>
      <c r="F1152" s="236"/>
    </row>
    <row r="1153" spans="5:6">
      <c r="E1153" s="236"/>
      <c r="F1153" s="236"/>
    </row>
    <row r="1154" spans="5:6">
      <c r="E1154" s="236"/>
      <c r="F1154" s="236"/>
    </row>
    <row r="1155" spans="5:6">
      <c r="E1155" s="236"/>
      <c r="F1155" s="236"/>
    </row>
    <row r="1156" spans="5:6">
      <c r="E1156" s="236"/>
      <c r="F1156" s="236"/>
    </row>
    <row r="1157" spans="5:6">
      <c r="E1157" s="236"/>
      <c r="F1157" s="236"/>
    </row>
    <row r="1158" spans="5:6">
      <c r="E1158" s="236"/>
      <c r="F1158" s="236"/>
    </row>
    <row r="1159" spans="5:6">
      <c r="E1159" s="236"/>
      <c r="F1159" s="236"/>
    </row>
    <row r="1160" spans="5:6">
      <c r="E1160" s="236"/>
      <c r="F1160" s="236"/>
    </row>
    <row r="1161" spans="5:6">
      <c r="E1161" s="236"/>
      <c r="F1161" s="236"/>
    </row>
    <row r="1162" spans="5:6">
      <c r="E1162" s="236"/>
      <c r="F1162" s="236"/>
    </row>
    <row r="1163" spans="5:6">
      <c r="E1163" s="236"/>
      <c r="F1163" s="236"/>
    </row>
    <row r="1164" spans="5:6">
      <c r="E1164" s="236"/>
      <c r="F1164" s="236"/>
    </row>
    <row r="1165" spans="5:6">
      <c r="E1165" s="236"/>
      <c r="F1165" s="236"/>
    </row>
    <row r="1166" spans="5:6">
      <c r="E1166" s="236"/>
      <c r="F1166" s="236"/>
    </row>
    <row r="1167" spans="5:6">
      <c r="E1167" s="236"/>
      <c r="F1167" s="236"/>
    </row>
    <row r="1168" spans="5:6">
      <c r="E1168" s="236"/>
      <c r="F1168" s="236"/>
    </row>
    <row r="1169" spans="5:6">
      <c r="E1169" s="236"/>
      <c r="F1169" s="236"/>
    </row>
    <row r="1170" spans="5:6">
      <c r="E1170" s="236"/>
      <c r="F1170" s="236"/>
    </row>
    <row r="1171" spans="5:6">
      <c r="E1171" s="236"/>
      <c r="F1171" s="236"/>
    </row>
    <row r="1172" spans="5:6">
      <c r="E1172" s="236"/>
      <c r="F1172" s="236"/>
    </row>
    <row r="1173" spans="5:6">
      <c r="E1173" s="236"/>
      <c r="F1173" s="236"/>
    </row>
    <row r="1174" spans="5:6">
      <c r="E1174" s="236"/>
      <c r="F1174" s="236"/>
    </row>
    <row r="1175" spans="5:6">
      <c r="E1175" s="236"/>
      <c r="F1175" s="236"/>
    </row>
    <row r="1176" spans="5:6">
      <c r="E1176" s="236"/>
      <c r="F1176" s="236"/>
    </row>
    <row r="1177" spans="5:6">
      <c r="E1177" s="236"/>
      <c r="F1177" s="236"/>
    </row>
    <row r="1178" spans="5:6">
      <c r="E1178" s="236"/>
      <c r="F1178" s="236"/>
    </row>
    <row r="1179" spans="5:6">
      <c r="E1179" s="236"/>
      <c r="F1179" s="236"/>
    </row>
    <row r="1180" spans="5:6">
      <c r="E1180" s="236"/>
      <c r="F1180" s="236"/>
    </row>
    <row r="1181" spans="5:6">
      <c r="E1181" s="236"/>
      <c r="F1181" s="236"/>
    </row>
    <row r="1182" spans="5:6">
      <c r="E1182" s="236"/>
      <c r="F1182" s="236"/>
    </row>
    <row r="1183" spans="5:6">
      <c r="E1183" s="236"/>
      <c r="F1183" s="236"/>
    </row>
    <row r="1184" spans="5:6">
      <c r="E1184" s="236"/>
      <c r="F1184" s="236"/>
    </row>
    <row r="1185" spans="5:6">
      <c r="E1185" s="236"/>
      <c r="F1185" s="236"/>
    </row>
    <row r="1186" spans="5:6">
      <c r="E1186" s="236"/>
      <c r="F1186" s="236"/>
    </row>
    <row r="1187" spans="5:6">
      <c r="E1187" s="236"/>
      <c r="F1187" s="236"/>
    </row>
    <row r="1188" spans="5:6">
      <c r="E1188" s="236"/>
      <c r="F1188" s="236"/>
    </row>
    <row r="1189" spans="5:6">
      <c r="E1189" s="236"/>
      <c r="F1189" s="236"/>
    </row>
    <row r="1190" spans="5:6">
      <c r="E1190" s="236"/>
      <c r="F1190" s="236"/>
    </row>
    <row r="1191" spans="5:6">
      <c r="E1191" s="236"/>
      <c r="F1191" s="236"/>
    </row>
    <row r="1192" spans="5:6">
      <c r="E1192" s="236"/>
      <c r="F1192" s="236"/>
    </row>
    <row r="1193" spans="5:6">
      <c r="E1193" s="236"/>
      <c r="F1193" s="236"/>
    </row>
    <row r="1194" spans="5:6">
      <c r="E1194" s="236"/>
      <c r="F1194" s="236"/>
    </row>
    <row r="1195" spans="5:6">
      <c r="E1195" s="236"/>
      <c r="F1195" s="236"/>
    </row>
    <row r="1196" spans="5:6">
      <c r="E1196" s="236"/>
      <c r="F1196" s="236"/>
    </row>
    <row r="1197" spans="5:6">
      <c r="E1197" s="236"/>
      <c r="F1197" s="236"/>
    </row>
    <row r="1198" spans="5:6">
      <c r="E1198" s="236"/>
      <c r="F1198" s="236"/>
    </row>
    <row r="1199" spans="5:6">
      <c r="E1199" s="236"/>
      <c r="F1199" s="236"/>
    </row>
    <row r="1200" spans="5:6">
      <c r="E1200" s="236"/>
      <c r="F1200" s="236"/>
    </row>
    <row r="1201" spans="5:6">
      <c r="E1201" s="236"/>
      <c r="F1201" s="236"/>
    </row>
    <row r="1202" spans="5:6">
      <c r="E1202" s="236"/>
      <c r="F1202" s="236"/>
    </row>
    <row r="1203" spans="5:6">
      <c r="E1203" s="236"/>
      <c r="F1203" s="236"/>
    </row>
  </sheetData>
  <sheetProtection algorithmName="SHA-512" hashValue="YydFH2dgM3xxZrefl/62n/D0X2mSsedfX8Sb4e0I++PrJdvdNuFw23k3XT2C2+0jxeP+mZ3e/+9tVdYyrwMfAg==" saltValue="yl1vhlX5t9v8d4bBS7RyPQ==" spinCount="100000" sheet="1" objects="1" scenarios="1"/>
  <mergeCells count="432">
    <mergeCell ref="T141:T142"/>
    <mergeCell ref="U141:U142"/>
    <mergeCell ref="P96:U111"/>
    <mergeCell ref="P143:V154"/>
    <mergeCell ref="U132:U134"/>
    <mergeCell ref="U136:U138"/>
    <mergeCell ref="Q94:Q95"/>
    <mergeCell ref="S94:S95"/>
    <mergeCell ref="T94:T95"/>
    <mergeCell ref="U94:U95"/>
    <mergeCell ref="V92:V142"/>
    <mergeCell ref="T112:T115"/>
    <mergeCell ref="U112:U115"/>
    <mergeCell ref="T131:T134"/>
    <mergeCell ref="Q135:Q138"/>
    <mergeCell ref="R135:R138"/>
    <mergeCell ref="S135:S138"/>
    <mergeCell ref="T135:T138"/>
    <mergeCell ref="R123:R126"/>
    <mergeCell ref="T120:T121"/>
    <mergeCell ref="Q123:Q126"/>
    <mergeCell ref="T123:T126"/>
    <mergeCell ref="T127:T130"/>
    <mergeCell ref="Q131:Q134"/>
    <mergeCell ref="A54:A57"/>
    <mergeCell ref="Q44:Q45"/>
    <mergeCell ref="S44:S45"/>
    <mergeCell ref="T44:T45"/>
    <mergeCell ref="U44:U45"/>
    <mergeCell ref="U46:U49"/>
    <mergeCell ref="U50:U53"/>
    <mergeCell ref="U54:U57"/>
    <mergeCell ref="Q60:Q61"/>
    <mergeCell ref="S60:S61"/>
    <mergeCell ref="T60:T61"/>
    <mergeCell ref="U60:U61"/>
    <mergeCell ref="R50:R53"/>
    <mergeCell ref="R54:R57"/>
    <mergeCell ref="S50:S53"/>
    <mergeCell ref="B54:B57"/>
    <mergeCell ref="C54:C57"/>
    <mergeCell ref="N54:N57"/>
    <mergeCell ref="O54:O57"/>
    <mergeCell ref="P54:P57"/>
    <mergeCell ref="Q54:Q57"/>
    <mergeCell ref="S123:S126"/>
    <mergeCell ref="R141:R142"/>
    <mergeCell ref="Q127:Q130"/>
    <mergeCell ref="R127:R130"/>
    <mergeCell ref="S127:S130"/>
    <mergeCell ref="D76:D78"/>
    <mergeCell ref="H76:H78"/>
    <mergeCell ref="I76:I78"/>
    <mergeCell ref="J76:J78"/>
    <mergeCell ref="K76:K78"/>
    <mergeCell ref="P112:P115"/>
    <mergeCell ref="Q112:Q115"/>
    <mergeCell ref="S112:S115"/>
    <mergeCell ref="R114:R115"/>
    <mergeCell ref="L76:L78"/>
    <mergeCell ref="M76:M78"/>
    <mergeCell ref="P139:P142"/>
    <mergeCell ref="P135:P138"/>
    <mergeCell ref="B100:B103"/>
    <mergeCell ref="C100:C103"/>
    <mergeCell ref="N100:N103"/>
    <mergeCell ref="O100:O103"/>
    <mergeCell ref="B108:B111"/>
    <mergeCell ref="B92:B95"/>
    <mergeCell ref="C92:C95"/>
    <mergeCell ref="S54:S57"/>
    <mergeCell ref="N92:N95"/>
    <mergeCell ref="O92:O95"/>
    <mergeCell ref="P92:P95"/>
    <mergeCell ref="C108:C111"/>
    <mergeCell ref="N108:N111"/>
    <mergeCell ref="O108:O111"/>
    <mergeCell ref="U89:U91"/>
    <mergeCell ref="U123:U126"/>
    <mergeCell ref="U127:U130"/>
    <mergeCell ref="U62:U65"/>
    <mergeCell ref="U66:U69"/>
    <mergeCell ref="U70:U73"/>
    <mergeCell ref="U80:U83"/>
    <mergeCell ref="U84:U87"/>
    <mergeCell ref="A112:A115"/>
    <mergeCell ref="B112:B115"/>
    <mergeCell ref="C112:C115"/>
    <mergeCell ref="A89:A91"/>
    <mergeCell ref="Q89:Q91"/>
    <mergeCell ref="R89:R91"/>
    <mergeCell ref="S89:S91"/>
    <mergeCell ref="R94:R95"/>
    <mergeCell ref="P89:P91"/>
    <mergeCell ref="A104:A107"/>
    <mergeCell ref="B104:B107"/>
    <mergeCell ref="C104:C107"/>
    <mergeCell ref="N104:N107"/>
    <mergeCell ref="O104:O107"/>
    <mergeCell ref="N112:N115"/>
    <mergeCell ref="O112:O115"/>
    <mergeCell ref="T39:T40"/>
    <mergeCell ref="U39:U40"/>
    <mergeCell ref="T31:T33"/>
    <mergeCell ref="U13:U15"/>
    <mergeCell ref="U16:U17"/>
    <mergeCell ref="U18:U21"/>
    <mergeCell ref="U22:U23"/>
    <mergeCell ref="U25:U26"/>
    <mergeCell ref="U27:U29"/>
    <mergeCell ref="U31:U33"/>
    <mergeCell ref="T25:T26"/>
    <mergeCell ref="T37:T38"/>
    <mergeCell ref="U34:U36"/>
    <mergeCell ref="U37:U38"/>
    <mergeCell ref="R22:R23"/>
    <mergeCell ref="A96:A99"/>
    <mergeCell ref="B96:B99"/>
    <mergeCell ref="C96:C99"/>
    <mergeCell ref="N96:N99"/>
    <mergeCell ref="O96:O99"/>
    <mergeCell ref="Q46:Q49"/>
    <mergeCell ref="R46:R49"/>
    <mergeCell ref="S46:S49"/>
    <mergeCell ref="B62:B65"/>
    <mergeCell ref="C62:C65"/>
    <mergeCell ref="N62:N65"/>
    <mergeCell ref="O62:O65"/>
    <mergeCell ref="P62:P65"/>
    <mergeCell ref="Q62:Q65"/>
    <mergeCell ref="R62:R65"/>
    <mergeCell ref="S62:S65"/>
    <mergeCell ref="P50:P53"/>
    <mergeCell ref="Q50:Q53"/>
    <mergeCell ref="S37:S38"/>
    <mergeCell ref="A34:A36"/>
    <mergeCell ref="B37:B38"/>
    <mergeCell ref="S39:S40"/>
    <mergeCell ref="S25:S26"/>
    <mergeCell ref="T89:T91"/>
    <mergeCell ref="R131:R134"/>
    <mergeCell ref="S131:S134"/>
    <mergeCell ref="A151:A154"/>
    <mergeCell ref="B151:B154"/>
    <mergeCell ref="C151:C154"/>
    <mergeCell ref="N151:N154"/>
    <mergeCell ref="O151:O154"/>
    <mergeCell ref="A147:A150"/>
    <mergeCell ref="N147:N150"/>
    <mergeCell ref="O147:O150"/>
    <mergeCell ref="N135:N138"/>
    <mergeCell ref="O135:O138"/>
    <mergeCell ref="A143:A146"/>
    <mergeCell ref="B143:B146"/>
    <mergeCell ref="C143:C146"/>
    <mergeCell ref="N143:N146"/>
    <mergeCell ref="O143:O146"/>
    <mergeCell ref="A135:A138"/>
    <mergeCell ref="B147:B150"/>
    <mergeCell ref="Q141:Q142"/>
    <mergeCell ref="S141:S142"/>
    <mergeCell ref="A116:A118"/>
    <mergeCell ref="Q116:Q118"/>
    <mergeCell ref="V80:V83"/>
    <mergeCell ref="A84:A87"/>
    <mergeCell ref="B84:B87"/>
    <mergeCell ref="C84:C87"/>
    <mergeCell ref="N84:N87"/>
    <mergeCell ref="O84:O87"/>
    <mergeCell ref="P84:P87"/>
    <mergeCell ref="Q84:Q87"/>
    <mergeCell ref="R84:R87"/>
    <mergeCell ref="S84:S87"/>
    <mergeCell ref="T84:T87"/>
    <mergeCell ref="V84:V87"/>
    <mergeCell ref="A80:A83"/>
    <mergeCell ref="B80:B83"/>
    <mergeCell ref="C80:C83"/>
    <mergeCell ref="N80:N83"/>
    <mergeCell ref="O80:O83"/>
    <mergeCell ref="P80:P83"/>
    <mergeCell ref="Q80:Q83"/>
    <mergeCell ref="R80:R83"/>
    <mergeCell ref="S80:S83"/>
    <mergeCell ref="T80:T83"/>
    <mergeCell ref="V70:V73"/>
    <mergeCell ref="A66:A69"/>
    <mergeCell ref="B66:B69"/>
    <mergeCell ref="C66:C69"/>
    <mergeCell ref="N66:N69"/>
    <mergeCell ref="O66:O69"/>
    <mergeCell ref="P66:P69"/>
    <mergeCell ref="Q66:Q69"/>
    <mergeCell ref="R66:R69"/>
    <mergeCell ref="S66:S69"/>
    <mergeCell ref="A70:A73"/>
    <mergeCell ref="B70:B73"/>
    <mergeCell ref="C70:C73"/>
    <mergeCell ref="N70:N73"/>
    <mergeCell ref="O70:O73"/>
    <mergeCell ref="P70:P73"/>
    <mergeCell ref="Q70:Q73"/>
    <mergeCell ref="R70:R73"/>
    <mergeCell ref="S70:S73"/>
    <mergeCell ref="T70:T73"/>
    <mergeCell ref="A7:E7"/>
    <mergeCell ref="V13:V33"/>
    <mergeCell ref="V34:V36"/>
    <mergeCell ref="N34:N36"/>
    <mergeCell ref="N41:N45"/>
    <mergeCell ref="V41:V45"/>
    <mergeCell ref="N58:N61"/>
    <mergeCell ref="V58:V61"/>
    <mergeCell ref="V74:V79"/>
    <mergeCell ref="T16:T17"/>
    <mergeCell ref="Q18:Q21"/>
    <mergeCell ref="T27:T29"/>
    <mergeCell ref="N74:N79"/>
    <mergeCell ref="Q37:Q38"/>
    <mergeCell ref="R37:R38"/>
    <mergeCell ref="O13:O15"/>
    <mergeCell ref="P13:P15"/>
    <mergeCell ref="Q13:Q15"/>
    <mergeCell ref="A50:A53"/>
    <mergeCell ref="T18:T21"/>
    <mergeCell ref="T22:T23"/>
    <mergeCell ref="S22:S23"/>
    <mergeCell ref="Q25:Q26"/>
    <mergeCell ref="R25:R26"/>
    <mergeCell ref="A2:V2"/>
    <mergeCell ref="P25:P26"/>
    <mergeCell ref="A25:A26"/>
    <mergeCell ref="B25:B26"/>
    <mergeCell ref="C25:C26"/>
    <mergeCell ref="O25:O26"/>
    <mergeCell ref="A27:A31"/>
    <mergeCell ref="Q34:Q36"/>
    <mergeCell ref="R34:R36"/>
    <mergeCell ref="S34:S36"/>
    <mergeCell ref="R18:R21"/>
    <mergeCell ref="S18:S21"/>
    <mergeCell ref="I29:I31"/>
    <mergeCell ref="J29:J31"/>
    <mergeCell ref="M29:M31"/>
    <mergeCell ref="Q31:Q33"/>
    <mergeCell ref="S31:S33"/>
    <mergeCell ref="L10:L11"/>
    <mergeCell ref="O10:O11"/>
    <mergeCell ref="P10:P11"/>
    <mergeCell ref="Q10:Q11"/>
    <mergeCell ref="A13:A15"/>
    <mergeCell ref="B13:B15"/>
    <mergeCell ref="C13:C15"/>
    <mergeCell ref="R10:U10"/>
    <mergeCell ref="C16:C17"/>
    <mergeCell ref="O16:O17"/>
    <mergeCell ref="P16:P17"/>
    <mergeCell ref="Q16:Q17"/>
    <mergeCell ref="R16:R17"/>
    <mergeCell ref="S16:S17"/>
    <mergeCell ref="N10:N11"/>
    <mergeCell ref="H10:H11"/>
    <mergeCell ref="K10:K11"/>
    <mergeCell ref="C10:C11"/>
    <mergeCell ref="D10:D11"/>
    <mergeCell ref="E10:E11"/>
    <mergeCell ref="F10:F11"/>
    <mergeCell ref="G10:G11"/>
    <mergeCell ref="I10:I11"/>
    <mergeCell ref="J10:J11"/>
    <mergeCell ref="R13:R15"/>
    <mergeCell ref="S13:S15"/>
    <mergeCell ref="T13:T15"/>
    <mergeCell ref="A16:A17"/>
    <mergeCell ref="B16:B17"/>
    <mergeCell ref="A10:A11"/>
    <mergeCell ref="B10:B11"/>
    <mergeCell ref="N13:N33"/>
    <mergeCell ref="A18:A21"/>
    <mergeCell ref="B18:B21"/>
    <mergeCell ref="C18:C21"/>
    <mergeCell ref="O18:O21"/>
    <mergeCell ref="M10:M11"/>
    <mergeCell ref="P18:P21"/>
    <mergeCell ref="A22:A23"/>
    <mergeCell ref="B22:B23"/>
    <mergeCell ref="C22:C23"/>
    <mergeCell ref="O22:O23"/>
    <mergeCell ref="P22:P23"/>
    <mergeCell ref="Q22:Q23"/>
    <mergeCell ref="A39:A40"/>
    <mergeCell ref="N37:N38"/>
    <mergeCell ref="P34:P36"/>
    <mergeCell ref="B34:B36"/>
    <mergeCell ref="C34:C36"/>
    <mergeCell ref="O34:O36"/>
    <mergeCell ref="O27:O33"/>
    <mergeCell ref="P27:P33"/>
    <mergeCell ref="B27:B31"/>
    <mergeCell ref="C27:C31"/>
    <mergeCell ref="D29:D31"/>
    <mergeCell ref="E29:E31"/>
    <mergeCell ref="F29:F31"/>
    <mergeCell ref="G29:G31"/>
    <mergeCell ref="H29:H31"/>
    <mergeCell ref="K29:K31"/>
    <mergeCell ref="L29:L31"/>
    <mergeCell ref="C39:C40"/>
    <mergeCell ref="O39:O40"/>
    <mergeCell ref="A100:A103"/>
    <mergeCell ref="A108:A111"/>
    <mergeCell ref="B50:B53"/>
    <mergeCell ref="C50:C53"/>
    <mergeCell ref="N50:N53"/>
    <mergeCell ref="O50:O53"/>
    <mergeCell ref="A139:A142"/>
    <mergeCell ref="B139:B142"/>
    <mergeCell ref="C139:C142"/>
    <mergeCell ref="B135:B138"/>
    <mergeCell ref="C135:C138"/>
    <mergeCell ref="C120:C121"/>
    <mergeCell ref="A46:A49"/>
    <mergeCell ref="B46:B49"/>
    <mergeCell ref="A131:A134"/>
    <mergeCell ref="B131:B134"/>
    <mergeCell ref="N89:N91"/>
    <mergeCell ref="O89:O91"/>
    <mergeCell ref="A92:A95"/>
    <mergeCell ref="A62:A65"/>
    <mergeCell ref="N139:N142"/>
    <mergeCell ref="O139:O142"/>
    <mergeCell ref="B161:D161"/>
    <mergeCell ref="B162:D162"/>
    <mergeCell ref="B168:D168"/>
    <mergeCell ref="B164:D164"/>
    <mergeCell ref="B165:D165"/>
    <mergeCell ref="B166:D166"/>
    <mergeCell ref="B159:D159"/>
    <mergeCell ref="N120:N121"/>
    <mergeCell ref="B163:D163"/>
    <mergeCell ref="B157:D157"/>
    <mergeCell ref="B160:D160"/>
    <mergeCell ref="B158:D158"/>
    <mergeCell ref="B116:B118"/>
    <mergeCell ref="C116:C118"/>
    <mergeCell ref="P120:P121"/>
    <mergeCell ref="B120:B121"/>
    <mergeCell ref="N116:N118"/>
    <mergeCell ref="P131:P134"/>
    <mergeCell ref="O123:O126"/>
    <mergeCell ref="P123:P126"/>
    <mergeCell ref="B127:B130"/>
    <mergeCell ref="C127:C130"/>
    <mergeCell ref="N127:N130"/>
    <mergeCell ref="O127:O130"/>
    <mergeCell ref="P127:P130"/>
    <mergeCell ref="O116:O118"/>
    <mergeCell ref="C131:C134"/>
    <mergeCell ref="N131:N134"/>
    <mergeCell ref="O131:O134"/>
    <mergeCell ref="V89:V91"/>
    <mergeCell ref="S116:S118"/>
    <mergeCell ref="T116:T118"/>
    <mergeCell ref="Q120:Q121"/>
    <mergeCell ref="R120:R121"/>
    <mergeCell ref="S120:S121"/>
    <mergeCell ref="B39:B40"/>
    <mergeCell ref="V46:V49"/>
    <mergeCell ref="T50:T53"/>
    <mergeCell ref="V50:V53"/>
    <mergeCell ref="T54:T57"/>
    <mergeCell ref="V54:V57"/>
    <mergeCell ref="T62:T65"/>
    <mergeCell ref="V62:V65"/>
    <mergeCell ref="T46:T49"/>
    <mergeCell ref="T66:T69"/>
    <mergeCell ref="V66:V69"/>
    <mergeCell ref="B89:B91"/>
    <mergeCell ref="P116:P118"/>
    <mergeCell ref="P39:P40"/>
    <mergeCell ref="N46:N49"/>
    <mergeCell ref="O46:O49"/>
    <mergeCell ref="P46:P49"/>
    <mergeCell ref="C89:C91"/>
    <mergeCell ref="A1:V1"/>
    <mergeCell ref="S27:S29"/>
    <mergeCell ref="A8:Q8"/>
    <mergeCell ref="B4:V4"/>
    <mergeCell ref="B5:V5"/>
    <mergeCell ref="V10:V11"/>
    <mergeCell ref="C74:C79"/>
    <mergeCell ref="O74:O79"/>
    <mergeCell ref="P74:P79"/>
    <mergeCell ref="R74:R79"/>
    <mergeCell ref="R39:R40"/>
    <mergeCell ref="A41:A45"/>
    <mergeCell ref="B41:B45"/>
    <mergeCell ref="T34:T36"/>
    <mergeCell ref="V37:V38"/>
    <mergeCell ref="Q27:Q29"/>
    <mergeCell ref="R27:R29"/>
    <mergeCell ref="Q39:Q40"/>
    <mergeCell ref="C37:C38"/>
    <mergeCell ref="O37:O38"/>
    <mergeCell ref="P37:P38"/>
    <mergeCell ref="C46:C49"/>
    <mergeCell ref="A37:A38"/>
    <mergeCell ref="N39:N40"/>
    <mergeCell ref="A171:C171"/>
    <mergeCell ref="R58:R61"/>
    <mergeCell ref="A58:A61"/>
    <mergeCell ref="B58:B61"/>
    <mergeCell ref="C58:C61"/>
    <mergeCell ref="O58:O61"/>
    <mergeCell ref="P58:P61"/>
    <mergeCell ref="C41:C45"/>
    <mergeCell ref="O41:O45"/>
    <mergeCell ref="P41:P45"/>
    <mergeCell ref="R41:R45"/>
    <mergeCell ref="A155:D155"/>
    <mergeCell ref="B156:D156"/>
    <mergeCell ref="B167:D167"/>
    <mergeCell ref="R116:R118"/>
    <mergeCell ref="A74:A79"/>
    <mergeCell ref="B74:B79"/>
    <mergeCell ref="O120:O121"/>
    <mergeCell ref="A120:A121"/>
    <mergeCell ref="A127:A130"/>
    <mergeCell ref="A123:A126"/>
    <mergeCell ref="B123:B126"/>
    <mergeCell ref="C123:C126"/>
    <mergeCell ref="N123:N126"/>
  </mergeCells>
  <phoneticPr fontId="18" type="noConversion"/>
  <conditionalFormatting sqref="G11:H11 E10:H10 N10:O10 K10:L11">
    <cfRule type="dataBar" priority="12">
      <dataBar>
        <cfvo type="min"/>
        <cfvo type="max"/>
        <color rgb="FF638EC6"/>
      </dataBar>
      <extLst>
        <ext xmlns:x14="http://schemas.microsoft.com/office/spreadsheetml/2009/9/main" uri="{B025F937-C7B1-47D3-B67F-A62EFF666E3E}">
          <x14:id>{29C299C1-D674-4E79-9B19-544D0B95209D}</x14:id>
        </ext>
      </extLst>
    </cfRule>
  </conditionalFormatting>
  <conditionalFormatting sqref="I10:J10">
    <cfRule type="dataBar" priority="4">
      <dataBar>
        <cfvo type="min"/>
        <cfvo type="max"/>
        <color rgb="FF638EC6"/>
      </dataBar>
      <extLst>
        <ext xmlns:x14="http://schemas.microsoft.com/office/spreadsheetml/2009/9/main" uri="{B025F937-C7B1-47D3-B67F-A62EFF666E3E}">
          <x14:id>{F03AC553-635F-4A33-977C-E995F78F332E}</x14:id>
        </ext>
      </extLst>
    </cfRule>
  </conditionalFormatting>
  <conditionalFormatting sqref="J11">
    <cfRule type="dataBar" priority="3">
      <dataBar>
        <cfvo type="min"/>
        <cfvo type="max"/>
        <color rgb="FF638EC6"/>
      </dataBar>
      <extLst>
        <ext xmlns:x14="http://schemas.microsoft.com/office/spreadsheetml/2009/9/main" uri="{B025F937-C7B1-47D3-B67F-A62EFF666E3E}">
          <x14:id>{7BDE7DBD-40FA-4E73-993B-516E485518F5}</x14:id>
        </ext>
      </extLst>
    </cfRule>
  </conditionalFormatting>
  <conditionalFormatting sqref="M10">
    <cfRule type="dataBar" priority="2">
      <dataBar>
        <cfvo type="min"/>
        <cfvo type="max"/>
        <color rgb="FF638EC6"/>
      </dataBar>
      <extLst>
        <ext xmlns:x14="http://schemas.microsoft.com/office/spreadsheetml/2009/9/main" uri="{B025F937-C7B1-47D3-B67F-A62EFF666E3E}">
          <x14:id>{595A4ACD-B217-477B-818D-3E255D2C4E51}</x14:id>
        </ext>
      </extLst>
    </cfRule>
  </conditionalFormatting>
  <conditionalFormatting sqref="M11">
    <cfRule type="dataBar" priority="1">
      <dataBar>
        <cfvo type="min"/>
        <cfvo type="max"/>
        <color rgb="FF638EC6"/>
      </dataBar>
      <extLst>
        <ext xmlns:x14="http://schemas.microsoft.com/office/spreadsheetml/2009/9/main" uri="{B025F937-C7B1-47D3-B67F-A62EFF666E3E}">
          <x14:id>{0A1D35BD-DB14-4415-9A35-418C2DCBCFF1}</x14:id>
        </ext>
      </extLst>
    </cfRule>
  </conditionalFormatting>
  <pageMargins left="0.70866141732283472" right="0.70866141732283472" top="0.74803149606299213" bottom="0.74803149606299213" header="0.31496062992125984" footer="0.31496062992125984"/>
  <pageSetup paperSize="8" scale="53" fitToHeight="0" pageOrder="overThenDown" orientation="landscape" r:id="rId1"/>
  <extLst>
    <ext xmlns:x14="http://schemas.microsoft.com/office/spreadsheetml/2009/9/main" uri="{78C0D931-6437-407d-A8EE-F0AAD7539E65}">
      <x14:conditionalFormattings>
        <x14:conditionalFormatting xmlns:xm="http://schemas.microsoft.com/office/excel/2006/main">
          <x14:cfRule type="dataBar" id="{29C299C1-D674-4E79-9B19-544D0B95209D}">
            <x14:dataBar minLength="0" maxLength="100" border="1" negativeBarBorderColorSameAsPositive="0">
              <x14:cfvo type="autoMin"/>
              <x14:cfvo type="autoMax"/>
              <x14:borderColor rgb="FF638EC6"/>
              <x14:negativeFillColor rgb="FFFF0000"/>
              <x14:negativeBorderColor rgb="FFFF0000"/>
              <x14:axisColor rgb="FF000000"/>
            </x14:dataBar>
          </x14:cfRule>
          <xm:sqref>G11:H11 E10:H10 N10:O10 K10:L11</xm:sqref>
        </x14:conditionalFormatting>
        <x14:conditionalFormatting xmlns:xm="http://schemas.microsoft.com/office/excel/2006/main">
          <x14:cfRule type="dataBar" id="{F03AC553-635F-4A33-977C-E995F78F332E}">
            <x14:dataBar minLength="0" maxLength="100" border="1" negativeBarBorderColorSameAsPositive="0">
              <x14:cfvo type="autoMin"/>
              <x14:cfvo type="autoMax"/>
              <x14:borderColor rgb="FF638EC6"/>
              <x14:negativeFillColor rgb="FFFF0000"/>
              <x14:negativeBorderColor rgb="FFFF0000"/>
              <x14:axisColor rgb="FF000000"/>
            </x14:dataBar>
          </x14:cfRule>
          <xm:sqref>I10:J10</xm:sqref>
        </x14:conditionalFormatting>
        <x14:conditionalFormatting xmlns:xm="http://schemas.microsoft.com/office/excel/2006/main">
          <x14:cfRule type="dataBar" id="{7BDE7DBD-40FA-4E73-993B-516E485518F5}">
            <x14:dataBar minLength="0" maxLength="100" border="1" negativeBarBorderColorSameAsPositive="0">
              <x14:cfvo type="autoMin"/>
              <x14:cfvo type="autoMax"/>
              <x14:borderColor rgb="FF638EC6"/>
              <x14:negativeFillColor rgb="FFFF0000"/>
              <x14:negativeBorderColor rgb="FFFF0000"/>
              <x14:axisColor rgb="FF000000"/>
            </x14:dataBar>
          </x14:cfRule>
          <xm:sqref>J11</xm:sqref>
        </x14:conditionalFormatting>
        <x14:conditionalFormatting xmlns:xm="http://schemas.microsoft.com/office/excel/2006/main">
          <x14:cfRule type="dataBar" id="{595A4ACD-B217-477B-818D-3E255D2C4E51}">
            <x14:dataBar minLength="0" maxLength="100" border="1" negativeBarBorderColorSameAsPositive="0">
              <x14:cfvo type="autoMin"/>
              <x14:cfvo type="autoMax"/>
              <x14:borderColor rgb="FF638EC6"/>
              <x14:negativeFillColor rgb="FFFF0000"/>
              <x14:negativeBorderColor rgb="FFFF0000"/>
              <x14:axisColor rgb="FF000000"/>
            </x14:dataBar>
          </x14:cfRule>
          <xm:sqref>M10</xm:sqref>
        </x14:conditionalFormatting>
        <x14:conditionalFormatting xmlns:xm="http://schemas.microsoft.com/office/excel/2006/main">
          <x14:cfRule type="dataBar" id="{0A1D35BD-DB14-4415-9A35-418C2DCBCFF1}">
            <x14:dataBar minLength="0" maxLength="100" border="1" negativeBarBorderColorSameAsPositive="0">
              <x14:cfvo type="autoMin"/>
              <x14:cfvo type="autoMax"/>
              <x14:borderColor rgb="FF638EC6"/>
              <x14:negativeFillColor rgb="FFFF0000"/>
              <x14:negativeBorderColor rgb="FFFF0000"/>
              <x14:axisColor rgb="FF000000"/>
            </x14:dataBar>
          </x14:cfRule>
          <xm:sqref>M11</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DEC0F-9E04-419A-B5BC-8A3122F3A9CD}">
  <sheetPr>
    <pageSetUpPr fitToPage="1"/>
  </sheetPr>
  <dimension ref="A1:Z1200"/>
  <sheetViews>
    <sheetView zoomScale="98" zoomScaleNormal="98" zoomScaleSheetLayoutView="86" workbookViewId="0">
      <selection activeCell="AJ15" sqref="AJ15"/>
    </sheetView>
  </sheetViews>
  <sheetFormatPr defaultColWidth="9.140625" defaultRowHeight="12"/>
  <cols>
    <col min="1" max="1" width="15.7109375" style="409" customWidth="1"/>
    <col min="2" max="2" width="27.5703125" style="409" customWidth="1"/>
    <col min="3" max="3" width="4.5703125" style="409" customWidth="1"/>
    <col min="4" max="4" width="7.42578125" style="409" customWidth="1"/>
    <col min="5" max="5" width="10.7109375" style="440" hidden="1" customWidth="1"/>
    <col min="6" max="6" width="12.85546875" style="440" hidden="1" customWidth="1"/>
    <col min="7" max="7" width="13.28515625" style="409" hidden="1" customWidth="1"/>
    <col min="8" max="8" width="15" style="409" hidden="1" customWidth="1"/>
    <col min="9" max="9" width="15" style="236" hidden="1" customWidth="1"/>
    <col min="10" max="10" width="15" style="401" hidden="1" customWidth="1"/>
    <col min="11" max="11" width="15.7109375" style="409" customWidth="1"/>
    <col min="12" max="13" width="16.140625" style="409" customWidth="1"/>
    <col min="14" max="14" width="12.7109375" style="2226" customWidth="1"/>
    <col min="15" max="15" width="61" style="409" customWidth="1"/>
    <col min="16" max="16" width="15.5703125" style="409" customWidth="1"/>
    <col min="17" max="17" width="30.5703125" style="409" customWidth="1"/>
    <col min="18" max="18" width="6.28515625" style="409" hidden="1" customWidth="1"/>
    <col min="19" max="20" width="6.28515625" style="409" customWidth="1"/>
    <col min="21" max="21" width="5.7109375" style="409" customWidth="1"/>
    <col min="22" max="22" width="29.42578125" style="409" customWidth="1"/>
    <col min="23" max="24" width="0" style="409" hidden="1" customWidth="1"/>
    <col min="25" max="26" width="8.85546875" style="409" hidden="1" customWidth="1"/>
    <col min="27" max="27" width="0" style="409" hidden="1" customWidth="1"/>
    <col min="28" max="16384" width="9.140625" style="409"/>
  </cols>
  <sheetData>
    <row r="1" spans="1:22" ht="18.75" customHeight="1">
      <c r="A1" s="3197" t="s">
        <v>2266</v>
      </c>
      <c r="B1" s="3197"/>
      <c r="C1" s="3197"/>
      <c r="D1" s="3197"/>
      <c r="E1" s="3197"/>
      <c r="F1" s="3197"/>
      <c r="G1" s="405"/>
      <c r="H1" s="3198"/>
      <c r="I1" s="3198"/>
      <c r="J1" s="3198"/>
      <c r="K1" s="3198"/>
      <c r="L1" s="3198"/>
      <c r="M1" s="3198"/>
      <c r="N1" s="3198"/>
      <c r="O1" s="3198"/>
      <c r="P1" s="407"/>
      <c r="Q1" s="407"/>
      <c r="R1" s="408"/>
      <c r="S1" s="408"/>
      <c r="T1" s="408"/>
      <c r="U1" s="408"/>
      <c r="V1" s="407"/>
    </row>
    <row r="2" spans="1:22" ht="20.25" customHeight="1">
      <c r="A2" s="3256" t="s">
        <v>2817</v>
      </c>
      <c r="B2" s="3256"/>
      <c r="C2" s="3256"/>
      <c r="D2" s="3256"/>
      <c r="E2" s="3256"/>
      <c r="F2" s="3256"/>
      <c r="G2" s="3256"/>
      <c r="H2" s="3256"/>
      <c r="I2" s="3256"/>
      <c r="J2" s="3256"/>
      <c r="K2" s="3256"/>
      <c r="L2" s="3256"/>
      <c r="M2" s="3256"/>
      <c r="N2" s="3256"/>
      <c r="O2" s="3256"/>
      <c r="P2" s="3256"/>
      <c r="Q2" s="3256"/>
      <c r="R2" s="3256"/>
      <c r="S2" s="3256"/>
      <c r="T2" s="3256"/>
      <c r="U2" s="3256"/>
      <c r="V2" s="3256"/>
    </row>
    <row r="3" spans="1:22" ht="9" customHeight="1">
      <c r="A3" s="410"/>
      <c r="B3" s="410"/>
      <c r="C3" s="410"/>
      <c r="D3" s="410"/>
      <c r="E3" s="410"/>
      <c r="F3" s="410"/>
      <c r="G3" s="410"/>
      <c r="H3" s="410"/>
      <c r="I3" s="829"/>
      <c r="J3" s="556"/>
      <c r="K3" s="410"/>
      <c r="L3" s="410"/>
      <c r="M3" s="410"/>
      <c r="N3" s="2224"/>
      <c r="O3" s="410"/>
      <c r="P3" s="410"/>
      <c r="Q3" s="410"/>
      <c r="R3" s="410"/>
      <c r="S3" s="410"/>
      <c r="T3" s="410"/>
      <c r="U3" s="410"/>
      <c r="V3" s="410"/>
    </row>
    <row r="4" spans="1:22" ht="15.75" customHeight="1">
      <c r="A4" s="406" t="str">
        <f>A16</f>
        <v>08.01.01.(T)</v>
      </c>
      <c r="B4" s="3198" t="str">
        <f>B16</f>
        <v>Mažinti aplinkos užterštumą ir gerinti vandens telkinių, bendro naudojimo ir kitų teritorijų būklę</v>
      </c>
      <c r="C4" s="3198"/>
      <c r="D4" s="3198"/>
      <c r="E4" s="3198"/>
      <c r="F4" s="3198"/>
      <c r="G4" s="3198"/>
      <c r="H4" s="3198"/>
      <c r="I4" s="3198"/>
      <c r="J4" s="3198"/>
      <c r="K4" s="3198"/>
      <c r="L4" s="3198"/>
      <c r="M4" s="3198"/>
      <c r="N4" s="3198"/>
      <c r="O4" s="3198"/>
      <c r="P4" s="3198"/>
      <c r="Q4" s="3198"/>
      <c r="R4" s="3198"/>
      <c r="S4" s="3198"/>
      <c r="T4" s="3198"/>
      <c r="U4" s="3198"/>
      <c r="V4" s="3198"/>
    </row>
    <row r="5" spans="1:22" ht="12.75" customHeight="1">
      <c r="A5" s="406" t="str">
        <f>A112</f>
        <v>08.01.02. (T)</v>
      </c>
      <c r="B5" s="3198" t="str">
        <f>B112</f>
        <v>Įgyvendinti Lietuvos Respublikos geriamojo vandens tiekimo ir nuotekų tvarkymo įstatymo nuostatas</v>
      </c>
      <c r="C5" s="3198"/>
      <c r="D5" s="3198"/>
      <c r="E5" s="3198"/>
      <c r="F5" s="3198"/>
      <c r="G5" s="3198"/>
      <c r="H5" s="3198"/>
      <c r="I5" s="3198"/>
      <c r="J5" s="3198"/>
      <c r="K5" s="3198"/>
      <c r="L5" s="3198"/>
      <c r="M5" s="3198"/>
      <c r="N5" s="3198"/>
      <c r="O5" s="3198"/>
      <c r="P5" s="3198"/>
      <c r="Q5" s="3198"/>
      <c r="R5" s="3198"/>
      <c r="S5" s="3198"/>
      <c r="T5" s="3198"/>
      <c r="U5" s="3198"/>
      <c r="V5" s="3198"/>
    </row>
    <row r="6" spans="1:22" ht="13.5" customHeight="1">
      <c r="A6" s="406" t="str">
        <f>A140</f>
        <v>08.01.03. (T)</v>
      </c>
      <c r="B6" s="3198" t="str">
        <f>B140</f>
        <v>Įgyvendinti Lietuvos Respublikos triukšmo valdymo įstatymo nuostatas</v>
      </c>
      <c r="C6" s="3198"/>
      <c r="D6" s="3198"/>
      <c r="E6" s="3198"/>
      <c r="F6" s="3198"/>
      <c r="G6" s="3198"/>
      <c r="H6" s="3198"/>
      <c r="I6" s="3198"/>
      <c r="J6" s="3198"/>
      <c r="K6" s="3198"/>
      <c r="L6" s="3198"/>
      <c r="M6" s="3198"/>
      <c r="N6" s="3198"/>
      <c r="O6" s="3198"/>
      <c r="P6" s="3198"/>
      <c r="Q6" s="3198"/>
      <c r="R6" s="3198"/>
      <c r="S6" s="3198"/>
      <c r="T6" s="3198"/>
      <c r="U6" s="3198"/>
      <c r="V6" s="3198"/>
    </row>
    <row r="7" spans="1:22" ht="13.5" customHeight="1">
      <c r="A7" s="406" t="str">
        <f>A143</f>
        <v>08.01.04. (T)</v>
      </c>
      <c r="B7" s="3198" t="str">
        <f>B143</f>
        <v>Įgyvendinti Lietuvos Respublikos gyvūnų gerovės ir apsaugos įstatymo nuostatas</v>
      </c>
      <c r="C7" s="3198"/>
      <c r="D7" s="3198"/>
      <c r="E7" s="3198"/>
      <c r="F7" s="3198"/>
      <c r="G7" s="3198"/>
      <c r="H7" s="3198"/>
      <c r="I7" s="3198"/>
      <c r="J7" s="3198"/>
      <c r="K7" s="3198"/>
      <c r="L7" s="3198"/>
      <c r="M7" s="3198"/>
      <c r="N7" s="3198"/>
      <c r="O7" s="3198"/>
      <c r="P7" s="3198"/>
      <c r="Q7" s="3198"/>
      <c r="R7" s="3198"/>
      <c r="S7" s="3198"/>
      <c r="T7" s="3198"/>
      <c r="U7" s="406"/>
    </row>
    <row r="8" spans="1:22" ht="12" customHeight="1">
      <c r="A8" s="406" t="str">
        <f>A149</f>
        <v>08.01.05. (T)</v>
      </c>
      <c r="B8" s="3198" t="str">
        <f>B149</f>
        <v>Išsaugoti, formuoti etalonines kraštovaizdžio teritorijas, gerinti ekologinę būklę gamtinio karkaso teritorijose</v>
      </c>
      <c r="C8" s="3198"/>
      <c r="D8" s="3198"/>
      <c r="E8" s="3198"/>
      <c r="F8" s="3198"/>
      <c r="G8" s="3198"/>
      <c r="H8" s="3198"/>
      <c r="I8" s="3198"/>
      <c r="J8" s="3198"/>
      <c r="K8" s="3198"/>
      <c r="L8" s="3198"/>
      <c r="M8" s="3198"/>
      <c r="N8" s="3198"/>
      <c r="O8" s="3198"/>
      <c r="P8" s="3198"/>
      <c r="Q8" s="3198"/>
      <c r="R8" s="3198"/>
      <c r="S8" s="3198"/>
      <c r="T8" s="3198"/>
      <c r="U8" s="406"/>
    </row>
    <row r="9" spans="1:22" ht="12" customHeight="1">
      <c r="A9" s="406"/>
      <c r="B9" s="406"/>
      <c r="C9" s="406"/>
      <c r="D9" s="406"/>
      <c r="E9" s="406"/>
      <c r="F9" s="406"/>
      <c r="G9" s="406"/>
      <c r="H9" s="406"/>
      <c r="I9" s="406"/>
      <c r="J9" s="406"/>
      <c r="K9" s="406"/>
      <c r="L9" s="406"/>
      <c r="M9" s="406"/>
      <c r="N9" s="406"/>
      <c r="O9" s="406"/>
      <c r="P9" s="406"/>
      <c r="Q9" s="406"/>
      <c r="R9" s="406"/>
      <c r="S9" s="406"/>
      <c r="T9" s="406"/>
      <c r="U9" s="406"/>
    </row>
    <row r="10" spans="1:22" ht="18" customHeight="1">
      <c r="A10" s="3198" t="s">
        <v>3098</v>
      </c>
      <c r="B10" s="3198"/>
      <c r="C10" s="3198"/>
      <c r="D10" s="3198"/>
      <c r="E10" s="3198"/>
      <c r="F10" s="3198"/>
      <c r="G10" s="3198"/>
      <c r="H10" s="3198"/>
      <c r="I10" s="3198"/>
      <c r="J10" s="3198"/>
      <c r="K10" s="3198"/>
      <c r="L10" s="3198"/>
      <c r="M10" s="406"/>
      <c r="N10" s="2225"/>
      <c r="O10" s="406"/>
      <c r="P10" s="406"/>
      <c r="Q10" s="406"/>
      <c r="R10" s="406"/>
      <c r="S10" s="406"/>
      <c r="T10" s="406"/>
      <c r="U10" s="406"/>
    </row>
    <row r="11" spans="1:22" ht="50.25" customHeight="1">
      <c r="A11" s="3256" t="s">
        <v>4245</v>
      </c>
      <c r="B11" s="3256"/>
      <c r="C11" s="3256"/>
      <c r="D11" s="3256"/>
      <c r="E11" s="3256"/>
      <c r="F11" s="3256"/>
      <c r="G11" s="3256"/>
      <c r="H11" s="3256"/>
      <c r="I11" s="3256"/>
      <c r="J11" s="3256"/>
      <c r="K11" s="3256"/>
      <c r="L11" s="3256"/>
      <c r="M11" s="3256"/>
      <c r="N11" s="3256"/>
      <c r="O11" s="3256"/>
      <c r="P11" s="3256"/>
      <c r="Q11" s="3256"/>
      <c r="R11" s="3256"/>
      <c r="S11" s="3256"/>
      <c r="T11" s="3256"/>
      <c r="U11" s="406"/>
      <c r="V11" s="405"/>
    </row>
    <row r="12" spans="1:22" ht="15" customHeight="1">
      <c r="E12" s="409"/>
      <c r="F12" s="409"/>
    </row>
    <row r="13" spans="1:22" ht="12.75" customHeight="1">
      <c r="A13" s="1769" t="s">
        <v>4187</v>
      </c>
      <c r="B13" s="1769"/>
      <c r="C13" s="1769"/>
      <c r="D13" s="1769"/>
      <c r="E13" s="1769"/>
      <c r="F13" s="1769"/>
      <c r="G13" s="1769"/>
      <c r="H13" s="1769"/>
    </row>
    <row r="14" spans="1:22" ht="94.5" customHeight="1">
      <c r="A14" s="3760" t="s">
        <v>730</v>
      </c>
      <c r="B14" s="3760" t="s">
        <v>2013</v>
      </c>
      <c r="C14" s="3761" t="s">
        <v>1072</v>
      </c>
      <c r="D14" s="3762" t="s">
        <v>1073</v>
      </c>
      <c r="E14" s="3763" t="s">
        <v>1091</v>
      </c>
      <c r="F14" s="2942" t="s">
        <v>1186</v>
      </c>
      <c r="G14" s="3764" t="s">
        <v>1088</v>
      </c>
      <c r="H14" s="3765" t="s">
        <v>2163</v>
      </c>
      <c r="I14" s="2447" t="s">
        <v>3099</v>
      </c>
      <c r="J14" s="2445" t="s">
        <v>3100</v>
      </c>
      <c r="K14" s="3765" t="s">
        <v>2029</v>
      </c>
      <c r="L14" s="3765" t="s">
        <v>2086</v>
      </c>
      <c r="M14" s="2489" t="s">
        <v>3097</v>
      </c>
      <c r="N14" s="3245" t="s">
        <v>2052</v>
      </c>
      <c r="O14" s="3765" t="s">
        <v>2921</v>
      </c>
      <c r="P14" s="3760" t="s">
        <v>731</v>
      </c>
      <c r="Q14" s="3760" t="s">
        <v>1093</v>
      </c>
      <c r="R14" s="3766" t="s">
        <v>732</v>
      </c>
      <c r="S14" s="3767"/>
      <c r="T14" s="3767"/>
      <c r="U14" s="3245"/>
      <c r="V14" s="3768" t="s">
        <v>733</v>
      </c>
    </row>
    <row r="15" spans="1:22" ht="64.150000000000006" customHeight="1">
      <c r="A15" s="3769"/>
      <c r="B15" s="3769"/>
      <c r="C15" s="3770"/>
      <c r="D15" s="3771"/>
      <c r="E15" s="3772"/>
      <c r="F15" s="3773"/>
      <c r="G15" s="3774"/>
      <c r="H15" s="3760"/>
      <c r="I15" s="2448"/>
      <c r="J15" s="2446"/>
      <c r="K15" s="3765"/>
      <c r="L15" s="3765"/>
      <c r="M15" s="2489"/>
      <c r="N15" s="3245"/>
      <c r="O15" s="3765"/>
      <c r="P15" s="3769"/>
      <c r="Q15" s="3769"/>
      <c r="R15" s="3775">
        <v>2024</v>
      </c>
      <c r="S15" s="3775">
        <v>2025</v>
      </c>
      <c r="T15" s="3775">
        <v>2026</v>
      </c>
      <c r="U15" s="3775">
        <v>2027</v>
      </c>
      <c r="V15" s="3776"/>
    </row>
    <row r="16" spans="1:22" ht="48.6" customHeight="1">
      <c r="A16" s="1770" t="s">
        <v>2164</v>
      </c>
      <c r="B16" s="1771" t="s">
        <v>1265</v>
      </c>
      <c r="C16" s="1770"/>
      <c r="D16" s="1770"/>
      <c r="E16" s="1772">
        <f>SUM(E20,E22,E27,E30,E37,E47,E59,E63,E80,E89,E92,E101,E107,E111)</f>
        <v>3774.1850000000004</v>
      </c>
      <c r="F16" s="1773">
        <f>H16/E16-1</f>
        <v>9.8763044206894968E-2</v>
      </c>
      <c r="G16" s="1772">
        <f>SUM(G20,G22,G27,G30,G37,G47,G59,G63,G80,G89,G92,G101,G107,G111)</f>
        <v>4390.7250000000004</v>
      </c>
      <c r="H16" s="1774">
        <f>SUM(H20,H22,H27,H30,H37,H47,H59,H63,H80,H89,H92,H101,H107,H111)</f>
        <v>4146.9350000000004</v>
      </c>
      <c r="I16" s="1095"/>
      <c r="J16" s="1702"/>
      <c r="K16" s="1774">
        <f>SUM(K20,K22,K27,K30,K37,K47,K59,K63,K80,K89,K92,K101,K107,K111)</f>
        <v>4849.5639999999994</v>
      </c>
      <c r="L16" s="1774">
        <f>SUM(L20,L22,L27,L30,L37,L47,L59,L63,L80,L89,L92,L101,L107,L111)</f>
        <v>5221.9449999999997</v>
      </c>
      <c r="M16" s="1774">
        <f>SUM(M20,M22,M27,M30,M37,M47,M59,M63,M80,M89,M92,M101,M107,M111)</f>
        <v>4608.4370000000008</v>
      </c>
      <c r="N16" s="2227" t="s">
        <v>2496</v>
      </c>
      <c r="O16" s="1770"/>
      <c r="P16" s="1775" t="s">
        <v>1578</v>
      </c>
      <c r="Q16" s="1775" t="s">
        <v>466</v>
      </c>
      <c r="R16" s="1775" t="s">
        <v>1597</v>
      </c>
      <c r="S16" s="1775" t="s">
        <v>1597</v>
      </c>
      <c r="T16" s="1775" t="s">
        <v>1597</v>
      </c>
      <c r="U16" s="1775"/>
      <c r="V16" s="1775" t="s">
        <v>2498</v>
      </c>
    </row>
    <row r="17" spans="1:22" ht="34.15" customHeight="1">
      <c r="A17" s="3211" t="s">
        <v>2165</v>
      </c>
      <c r="B17" s="3212" t="s">
        <v>1564</v>
      </c>
      <c r="C17" s="3246">
        <v>188711925</v>
      </c>
      <c r="D17" s="1776" t="s">
        <v>471</v>
      </c>
      <c r="E17" s="1527">
        <v>10</v>
      </c>
      <c r="F17" s="1777">
        <f t="shared" ref="F17:F114" si="0">H17/E17-1</f>
        <v>-0.5</v>
      </c>
      <c r="G17" s="1527">
        <v>5</v>
      </c>
      <c r="H17" s="1535">
        <v>5</v>
      </c>
      <c r="I17" s="1053"/>
      <c r="J17" s="948"/>
      <c r="K17" s="1535"/>
      <c r="L17" s="1535"/>
      <c r="M17" s="1535"/>
      <c r="N17" s="3234" t="s">
        <v>2497</v>
      </c>
      <c r="O17" s="3186" t="s">
        <v>1733</v>
      </c>
      <c r="P17" s="2916" t="s">
        <v>1577</v>
      </c>
      <c r="Q17" s="2916" t="s">
        <v>2682</v>
      </c>
      <c r="R17" s="2916" t="s">
        <v>1470</v>
      </c>
      <c r="S17" s="2916" t="s">
        <v>1470</v>
      </c>
      <c r="T17" s="2916" t="s">
        <v>1470</v>
      </c>
      <c r="U17" s="2916" t="s">
        <v>1470</v>
      </c>
      <c r="V17" s="2916" t="s">
        <v>2516</v>
      </c>
    </row>
    <row r="18" spans="1:22" ht="39.6" customHeight="1">
      <c r="A18" s="3211"/>
      <c r="B18" s="3212"/>
      <c r="C18" s="3246"/>
      <c r="D18" s="1776" t="s">
        <v>3064</v>
      </c>
      <c r="E18" s="1527">
        <v>14.183999999999999</v>
      </c>
      <c r="F18" s="1777">
        <f t="shared" si="0"/>
        <v>-1</v>
      </c>
      <c r="G18" s="1527">
        <v>10.426</v>
      </c>
      <c r="H18" s="1535">
        <v>0</v>
      </c>
      <c r="I18" s="1054">
        <v>0</v>
      </c>
      <c r="J18" s="948">
        <v>5.2619999999999996</v>
      </c>
      <c r="K18" s="1053">
        <v>5.2619999999999996</v>
      </c>
      <c r="L18" s="1535">
        <v>5.2619999999999996</v>
      </c>
      <c r="M18" s="1535">
        <v>5.2619999999999996</v>
      </c>
      <c r="N18" s="3234"/>
      <c r="O18" s="3187"/>
      <c r="P18" s="2916"/>
      <c r="Q18" s="2916"/>
      <c r="R18" s="2916"/>
      <c r="S18" s="2916"/>
      <c r="T18" s="2916"/>
      <c r="U18" s="2916"/>
      <c r="V18" s="2916"/>
    </row>
    <row r="19" spans="1:22" ht="39.6" customHeight="1">
      <c r="A19" s="3211"/>
      <c r="B19" s="3212"/>
      <c r="C19" s="3246"/>
      <c r="D19" s="1776" t="s">
        <v>3063</v>
      </c>
      <c r="E19" s="1527"/>
      <c r="F19" s="1777"/>
      <c r="G19" s="1527"/>
      <c r="H19" s="1535">
        <v>10.426</v>
      </c>
      <c r="I19" s="1054">
        <f>J19/H19-1</f>
        <v>-0.52042969499328606</v>
      </c>
      <c r="J19" s="948">
        <v>5</v>
      </c>
      <c r="K19" s="1053">
        <v>5</v>
      </c>
      <c r="L19" s="1535"/>
      <c r="M19" s="1535"/>
      <c r="N19" s="3234"/>
      <c r="O19" s="3187"/>
      <c r="P19" s="2916"/>
      <c r="Q19" s="2916"/>
      <c r="R19" s="2916"/>
      <c r="S19" s="2916"/>
      <c r="T19" s="2916"/>
      <c r="U19" s="2916"/>
      <c r="V19" s="2916"/>
    </row>
    <row r="20" spans="1:22" ht="39" customHeight="1">
      <c r="A20" s="3211"/>
      <c r="B20" s="3212"/>
      <c r="C20" s="3246"/>
      <c r="D20" s="1778" t="s">
        <v>1076</v>
      </c>
      <c r="E20" s="1513">
        <f>SUM(E17:E18)</f>
        <v>24.183999999999997</v>
      </c>
      <c r="F20" s="1779">
        <f t="shared" si="0"/>
        <v>-0.36214025802183258</v>
      </c>
      <c r="G20" s="1513">
        <f t="shared" ref="G20" si="1">SUM(G17:G18)</f>
        <v>15.426</v>
      </c>
      <c r="H20" s="1560">
        <f>SUM(H17:H19)</f>
        <v>15.426</v>
      </c>
      <c r="I20" s="1060">
        <f t="shared" ref="I20:I29" si="2">J20/H20-1</f>
        <v>-0.33475949695319585</v>
      </c>
      <c r="J20" s="1704">
        <f>SUM(J17:J19)</f>
        <v>10.262</v>
      </c>
      <c r="K20" s="1560">
        <f>SUM(K17:K19)</f>
        <v>10.262</v>
      </c>
      <c r="L20" s="1560">
        <f t="shared" ref="L20:M20" si="3">SUM(L17:L19)</f>
        <v>5.2619999999999996</v>
      </c>
      <c r="M20" s="1560">
        <f t="shared" si="3"/>
        <v>5.2619999999999996</v>
      </c>
      <c r="N20" s="3234"/>
      <c r="O20" s="3187"/>
      <c r="P20" s="2916"/>
      <c r="Q20" s="2916"/>
      <c r="R20" s="2916"/>
      <c r="S20" s="2916"/>
      <c r="T20" s="2916"/>
      <c r="U20" s="2916"/>
      <c r="V20" s="2916"/>
    </row>
    <row r="21" spans="1:22" ht="79.150000000000006" customHeight="1">
      <c r="A21" s="3211" t="s">
        <v>2166</v>
      </c>
      <c r="B21" s="3212" t="s">
        <v>1266</v>
      </c>
      <c r="C21" s="3246" t="s">
        <v>1208</v>
      </c>
      <c r="D21" s="1776" t="s">
        <v>471</v>
      </c>
      <c r="E21" s="1527">
        <v>1381.7</v>
      </c>
      <c r="F21" s="1534">
        <f t="shared" si="0"/>
        <v>-2.6561482232033029E-2</v>
      </c>
      <c r="G21" s="1527">
        <v>1603.08</v>
      </c>
      <c r="H21" s="1535">
        <v>1345</v>
      </c>
      <c r="I21" s="1054">
        <f t="shared" si="2"/>
        <v>0.12988252788104093</v>
      </c>
      <c r="J21" s="948">
        <f>SUM(J23,J24,J25,)</f>
        <v>1519.692</v>
      </c>
      <c r="K21" s="1053">
        <v>1460.6</v>
      </c>
      <c r="L21" s="1053">
        <v>1502.47</v>
      </c>
      <c r="M21" s="1053">
        <v>1548.84</v>
      </c>
      <c r="N21" s="3234"/>
      <c r="O21" s="3186" t="s">
        <v>4243</v>
      </c>
      <c r="P21" s="2916" t="s">
        <v>1579</v>
      </c>
      <c r="Q21" s="2916" t="s">
        <v>1741</v>
      </c>
      <c r="R21" s="2916" t="s">
        <v>308</v>
      </c>
      <c r="S21" s="2916" t="s">
        <v>1740</v>
      </c>
      <c r="T21" s="2916" t="s">
        <v>1740</v>
      </c>
      <c r="U21" s="2916" t="s">
        <v>1740</v>
      </c>
      <c r="V21" s="2916"/>
    </row>
    <row r="22" spans="1:22" ht="84.75" customHeight="1">
      <c r="A22" s="3211"/>
      <c r="B22" s="3212"/>
      <c r="C22" s="3246"/>
      <c r="D22" s="1778" t="s">
        <v>1076</v>
      </c>
      <c r="E22" s="1513">
        <f>SUM(E21:E21)</f>
        <v>1381.7</v>
      </c>
      <c r="F22" s="1514">
        <f t="shared" si="0"/>
        <v>-2.6561482232033029E-2</v>
      </c>
      <c r="G22" s="1513">
        <f t="shared" ref="G22:M22" si="4">SUM(G21:G21)</f>
        <v>1603.08</v>
      </c>
      <c r="H22" s="1560">
        <f t="shared" si="4"/>
        <v>1345</v>
      </c>
      <c r="I22" s="1060">
        <f t="shared" si="4"/>
        <v>0.12988252788104093</v>
      </c>
      <c r="J22" s="1704">
        <f t="shared" si="4"/>
        <v>1519.692</v>
      </c>
      <c r="K22" s="1560">
        <f t="shared" si="4"/>
        <v>1460.6</v>
      </c>
      <c r="L22" s="1560">
        <f t="shared" si="4"/>
        <v>1502.47</v>
      </c>
      <c r="M22" s="1560">
        <f t="shared" si="4"/>
        <v>1548.84</v>
      </c>
      <c r="N22" s="3234"/>
      <c r="O22" s="3187"/>
      <c r="P22" s="2916"/>
      <c r="Q22" s="2916"/>
      <c r="R22" s="2916"/>
      <c r="S22" s="2916"/>
      <c r="T22" s="2916"/>
      <c r="U22" s="2916"/>
      <c r="V22" s="2916"/>
    </row>
    <row r="23" spans="1:22" ht="51.75" hidden="1" customHeight="1">
      <c r="A23" s="1780"/>
      <c r="B23" s="957" t="s">
        <v>3342</v>
      </c>
      <c r="C23" s="1781"/>
      <c r="D23" s="1782"/>
      <c r="E23" s="1598"/>
      <c r="F23" s="1599"/>
      <c r="G23" s="1598"/>
      <c r="H23" s="1783"/>
      <c r="I23" s="1126"/>
      <c r="J23" s="1102">
        <v>1379.9079999999999</v>
      </c>
      <c r="K23" s="1783"/>
      <c r="L23" s="1783"/>
      <c r="M23" s="1783"/>
      <c r="N23" s="2228"/>
      <c r="O23" s="957" t="s">
        <v>3345</v>
      </c>
      <c r="P23" s="1784"/>
      <c r="Q23" s="1784"/>
      <c r="R23" s="1784"/>
      <c r="S23" s="1784"/>
      <c r="T23" s="1784"/>
      <c r="U23" s="1784"/>
      <c r="V23" s="1784"/>
    </row>
    <row r="24" spans="1:22" ht="35.25" hidden="1" customHeight="1">
      <c r="A24" s="1780"/>
      <c r="B24" s="957" t="s">
        <v>3343</v>
      </c>
      <c r="C24" s="1781"/>
      <c r="D24" s="1782"/>
      <c r="E24" s="1598"/>
      <c r="F24" s="1599"/>
      <c r="G24" s="1598"/>
      <c r="H24" s="1783"/>
      <c r="I24" s="1126"/>
      <c r="J24" s="1102">
        <v>66.94</v>
      </c>
      <c r="K24" s="1783"/>
      <c r="L24" s="1783"/>
      <c r="M24" s="1783"/>
      <c r="N24" s="2228"/>
      <c r="O24" s="957" t="s">
        <v>3346</v>
      </c>
      <c r="P24" s="1784"/>
      <c r="Q24" s="1784"/>
      <c r="R24" s="1784"/>
      <c r="S24" s="1784"/>
      <c r="T24" s="1784"/>
      <c r="U24" s="1784"/>
      <c r="V24" s="1784"/>
    </row>
    <row r="25" spans="1:22" ht="31.5" hidden="1" customHeight="1">
      <c r="A25" s="1780"/>
      <c r="B25" s="957" t="s">
        <v>3344</v>
      </c>
      <c r="C25" s="1781"/>
      <c r="D25" s="1782"/>
      <c r="E25" s="1598"/>
      <c r="F25" s="1599"/>
      <c r="G25" s="1598"/>
      <c r="H25" s="1783"/>
      <c r="I25" s="1126"/>
      <c r="J25" s="1102">
        <v>72.843999999999994</v>
      </c>
      <c r="K25" s="1783"/>
      <c r="L25" s="1783"/>
      <c r="M25" s="1783"/>
      <c r="N25" s="2228"/>
      <c r="O25" s="957" t="s">
        <v>3347</v>
      </c>
      <c r="P25" s="1784"/>
      <c r="Q25" s="1784"/>
      <c r="R25" s="1784"/>
      <c r="S25" s="1784"/>
      <c r="T25" s="1784"/>
      <c r="U25" s="1784"/>
      <c r="V25" s="1784"/>
    </row>
    <row r="26" spans="1:22" ht="41.45" customHeight="1">
      <c r="A26" s="3211" t="s">
        <v>2167</v>
      </c>
      <c r="B26" s="3213" t="s">
        <v>1267</v>
      </c>
      <c r="C26" s="3216">
        <v>188711925</v>
      </c>
      <c r="D26" s="1785" t="s">
        <v>471</v>
      </c>
      <c r="E26" s="1527">
        <v>21.805</v>
      </c>
      <c r="F26" s="1534">
        <f t="shared" si="0"/>
        <v>0.37583123136895202</v>
      </c>
      <c r="G26" s="1527">
        <v>30</v>
      </c>
      <c r="H26" s="1535">
        <v>30</v>
      </c>
      <c r="I26" s="1786">
        <f t="shared" si="2"/>
        <v>0.15666666666666673</v>
      </c>
      <c r="J26" s="948">
        <v>34.700000000000003</v>
      </c>
      <c r="K26" s="1535">
        <v>20</v>
      </c>
      <c r="L26" s="1535">
        <v>20</v>
      </c>
      <c r="M26" s="1535">
        <v>20</v>
      </c>
      <c r="N26" s="3234" t="s">
        <v>2500</v>
      </c>
      <c r="O26" s="3186" t="s">
        <v>1735</v>
      </c>
      <c r="P26" s="2916" t="s">
        <v>1580</v>
      </c>
      <c r="Q26" s="2916" t="s">
        <v>1736</v>
      </c>
      <c r="R26" s="2916" t="s">
        <v>1743</v>
      </c>
      <c r="S26" s="2916" t="s">
        <v>1744</v>
      </c>
      <c r="T26" s="2916" t="s">
        <v>3314</v>
      </c>
      <c r="U26" s="2916" t="s">
        <v>3314</v>
      </c>
      <c r="V26" s="2916" t="s">
        <v>2501</v>
      </c>
    </row>
    <row r="27" spans="1:22" ht="30" customHeight="1">
      <c r="A27" s="3211"/>
      <c r="B27" s="3213"/>
      <c r="C27" s="3216"/>
      <c r="D27" s="1778" t="s">
        <v>1076</v>
      </c>
      <c r="E27" s="1513">
        <f>E26</f>
        <v>21.805</v>
      </c>
      <c r="F27" s="1514">
        <f t="shared" si="0"/>
        <v>0.37583123136895202</v>
      </c>
      <c r="G27" s="1513">
        <f t="shared" ref="G27:M27" si="5">G26</f>
        <v>30</v>
      </c>
      <c r="H27" s="1560">
        <f t="shared" si="5"/>
        <v>30</v>
      </c>
      <c r="I27" s="1787">
        <f t="shared" si="2"/>
        <v>0.15666666666666673</v>
      </c>
      <c r="J27" s="1704">
        <f t="shared" si="5"/>
        <v>34.700000000000003</v>
      </c>
      <c r="K27" s="1560">
        <f t="shared" si="5"/>
        <v>20</v>
      </c>
      <c r="L27" s="1560">
        <f t="shared" si="5"/>
        <v>20</v>
      </c>
      <c r="M27" s="1560">
        <f t="shared" si="5"/>
        <v>20</v>
      </c>
      <c r="N27" s="3234"/>
      <c r="O27" s="3187"/>
      <c r="P27" s="2916"/>
      <c r="Q27" s="2916"/>
      <c r="R27" s="2916"/>
      <c r="S27" s="2916"/>
      <c r="T27" s="2916"/>
      <c r="U27" s="2916"/>
      <c r="V27" s="2916"/>
    </row>
    <row r="28" spans="1:22" ht="27.75" customHeight="1">
      <c r="A28" s="3211" t="s">
        <v>2168</v>
      </c>
      <c r="B28" s="3255" t="s">
        <v>175</v>
      </c>
      <c r="C28" s="3216">
        <v>188711925</v>
      </c>
      <c r="D28" s="1785" t="s">
        <v>471</v>
      </c>
      <c r="E28" s="1527">
        <v>1873.38</v>
      </c>
      <c r="F28" s="1534">
        <f t="shared" si="0"/>
        <v>0.11651667040322855</v>
      </c>
      <c r="G28" s="1527">
        <v>2148.87</v>
      </c>
      <c r="H28" s="1535">
        <f>1791.76+300-0.1</f>
        <v>2091.6600000000003</v>
      </c>
      <c r="I28" s="1054">
        <f t="shared" si="2"/>
        <v>0.1731591176386218</v>
      </c>
      <c r="J28" s="948">
        <f>2144.85+309</f>
        <v>2453.85</v>
      </c>
      <c r="K28" s="1053">
        <f>2144.85+309</f>
        <v>2453.85</v>
      </c>
      <c r="L28" s="1053">
        <f>1992.62+318.27</f>
        <v>2310.89</v>
      </c>
      <c r="M28" s="1053">
        <f>2082.17+327.82</f>
        <v>2409.9900000000002</v>
      </c>
      <c r="N28" s="3234"/>
      <c r="O28" s="3186" t="s">
        <v>3094</v>
      </c>
      <c r="P28" s="2916" t="s">
        <v>1581</v>
      </c>
      <c r="Q28" s="2916" t="s">
        <v>466</v>
      </c>
      <c r="R28" s="2916" t="s">
        <v>1597</v>
      </c>
      <c r="S28" s="2916" t="s">
        <v>1597</v>
      </c>
      <c r="T28" s="2916" t="s">
        <v>1597</v>
      </c>
      <c r="U28" s="2916" t="s">
        <v>1597</v>
      </c>
      <c r="V28" s="2916"/>
    </row>
    <row r="29" spans="1:22" ht="30" customHeight="1">
      <c r="A29" s="3211"/>
      <c r="B29" s="3255"/>
      <c r="C29" s="3216"/>
      <c r="D29" s="1785" t="s">
        <v>1122</v>
      </c>
      <c r="E29" s="1527"/>
      <c r="F29" s="1534"/>
      <c r="G29" s="1527"/>
      <c r="H29" s="1535">
        <f>H32</f>
        <v>12.686</v>
      </c>
      <c r="I29" s="1054">
        <f t="shared" si="2"/>
        <v>-1</v>
      </c>
      <c r="J29" s="948"/>
      <c r="K29" s="1053">
        <f t="shared" ref="K29:L29" si="6">K32</f>
        <v>0</v>
      </c>
      <c r="L29" s="1053">
        <f t="shared" si="6"/>
        <v>0</v>
      </c>
      <c r="M29" s="1053">
        <v>0</v>
      </c>
      <c r="N29" s="3234"/>
      <c r="O29" s="3186"/>
      <c r="P29" s="2916"/>
      <c r="Q29" s="2916"/>
      <c r="R29" s="2916"/>
      <c r="S29" s="2916"/>
      <c r="T29" s="2916"/>
      <c r="U29" s="2916"/>
      <c r="V29" s="2916"/>
    </row>
    <row r="30" spans="1:22" ht="135" customHeight="1">
      <c r="A30" s="3211"/>
      <c r="B30" s="3255"/>
      <c r="C30" s="3216"/>
      <c r="D30" s="1778" t="s">
        <v>1076</v>
      </c>
      <c r="E30" s="1513">
        <f>SUM(E28)</f>
        <v>1873.38</v>
      </c>
      <c r="F30" s="1514">
        <f t="shared" si="0"/>
        <v>0.12328838783375518</v>
      </c>
      <c r="G30" s="1513">
        <f t="shared" ref="G30" si="7">SUM(G28)</f>
        <v>2148.87</v>
      </c>
      <c r="H30" s="1560">
        <f>SUM(H28,H29)</f>
        <v>2104.3460000000005</v>
      </c>
      <c r="I30" s="1059"/>
      <c r="J30" s="1704">
        <f>SUM(J28,J29)</f>
        <v>2453.85</v>
      </c>
      <c r="K30" s="1560">
        <f>SUM(K28,K29)</f>
        <v>2453.85</v>
      </c>
      <c r="L30" s="1560">
        <f t="shared" ref="L30:M30" si="8">SUM(L28,L29)</f>
        <v>2310.89</v>
      </c>
      <c r="M30" s="1560">
        <f t="shared" si="8"/>
        <v>2409.9900000000002</v>
      </c>
      <c r="N30" s="3234"/>
      <c r="O30" s="3186"/>
      <c r="P30" s="2916"/>
      <c r="Q30" s="2916"/>
      <c r="R30" s="2916"/>
      <c r="S30" s="2916"/>
      <c r="T30" s="2916"/>
      <c r="U30" s="2916"/>
      <c r="V30" s="2916"/>
    </row>
    <row r="31" spans="1:22" ht="28.15" hidden="1" customHeight="1">
      <c r="A31" s="3211"/>
      <c r="B31" s="3254" t="s">
        <v>3089</v>
      </c>
      <c r="C31" s="3216"/>
      <c r="D31" s="1788" t="s">
        <v>471</v>
      </c>
      <c r="E31" s="1789"/>
      <c r="F31" s="1790" t="e">
        <f t="shared" ref="F31:F33" si="9">H31/E31-1</f>
        <v>#DIV/0!</v>
      </c>
      <c r="G31" s="1789">
        <v>40</v>
      </c>
      <c r="H31" s="1791">
        <v>2.5379999999999998</v>
      </c>
      <c r="I31" s="1174"/>
      <c r="J31" s="1173"/>
      <c r="K31" s="1791"/>
      <c r="L31" s="1791"/>
      <c r="M31" s="1791"/>
      <c r="N31" s="3234"/>
      <c r="O31" s="3186"/>
      <c r="P31" s="2916"/>
      <c r="Q31" s="2916"/>
      <c r="R31" s="2916"/>
      <c r="S31" s="2916"/>
      <c r="T31" s="2916"/>
      <c r="U31" s="2916"/>
      <c r="V31" s="2916"/>
    </row>
    <row r="32" spans="1:22" ht="26.25" hidden="1" customHeight="1">
      <c r="A32" s="3211"/>
      <c r="B32" s="3254"/>
      <c r="C32" s="3216"/>
      <c r="D32" s="1788" t="s">
        <v>1122</v>
      </c>
      <c r="E32" s="1789">
        <v>12.627000000000001</v>
      </c>
      <c r="F32" s="1790">
        <f t="shared" si="9"/>
        <v>4.6725271244159039E-3</v>
      </c>
      <c r="G32" s="1789">
        <v>16</v>
      </c>
      <c r="H32" s="1791">
        <v>12.686</v>
      </c>
      <c r="I32" s="1174"/>
      <c r="J32" s="1173"/>
      <c r="K32" s="1791"/>
      <c r="L32" s="1791"/>
      <c r="M32" s="1791"/>
      <c r="N32" s="3234"/>
      <c r="O32" s="3186"/>
      <c r="P32" s="2916"/>
      <c r="Q32" s="2916"/>
      <c r="R32" s="2916"/>
      <c r="S32" s="2916"/>
      <c r="T32" s="2916"/>
      <c r="U32" s="2916"/>
      <c r="V32" s="2916"/>
    </row>
    <row r="33" spans="1:22" ht="35.25" hidden="1" customHeight="1">
      <c r="A33" s="3211"/>
      <c r="B33" s="3254"/>
      <c r="C33" s="3216"/>
      <c r="D33" s="1778" t="s">
        <v>1076</v>
      </c>
      <c r="E33" s="1513">
        <f>SUM(E31:E32)</f>
        <v>12.627000000000001</v>
      </c>
      <c r="F33" s="1514">
        <f t="shared" si="9"/>
        <v>0.20567038884929123</v>
      </c>
      <c r="G33" s="1513">
        <f t="shared" ref="G33:L33" si="10">SUM(G31:G32)</f>
        <v>56</v>
      </c>
      <c r="H33" s="1560">
        <f t="shared" si="10"/>
        <v>15.224</v>
      </c>
      <c r="I33" s="1059"/>
      <c r="J33" s="1704"/>
      <c r="K33" s="1560">
        <f t="shared" si="10"/>
        <v>0</v>
      </c>
      <c r="L33" s="1560">
        <f t="shared" si="10"/>
        <v>0</v>
      </c>
      <c r="M33" s="1560"/>
      <c r="N33" s="3234"/>
      <c r="O33" s="3186"/>
      <c r="P33" s="2916"/>
      <c r="Q33" s="2916"/>
      <c r="R33" s="2916"/>
      <c r="S33" s="2916"/>
      <c r="T33" s="2916"/>
      <c r="U33" s="2916"/>
      <c r="V33" s="2916"/>
    </row>
    <row r="34" spans="1:22" ht="39" customHeight="1">
      <c r="A34" s="3210" t="s">
        <v>2169</v>
      </c>
      <c r="B34" s="3191" t="s">
        <v>1268</v>
      </c>
      <c r="C34" s="3184">
        <v>188711925</v>
      </c>
      <c r="D34" s="1792" t="s">
        <v>471</v>
      </c>
      <c r="E34" s="1510">
        <v>34.5</v>
      </c>
      <c r="F34" s="1526">
        <f t="shared" si="0"/>
        <v>-1.4492753623188359E-2</v>
      </c>
      <c r="G34" s="1510">
        <v>34</v>
      </c>
      <c r="H34" s="1793">
        <v>34</v>
      </c>
      <c r="I34" s="1794">
        <f t="shared" ref="I34:I37" si="11">J34/H34-1</f>
        <v>0</v>
      </c>
      <c r="J34" s="1605">
        <f>J40+J41</f>
        <v>34</v>
      </c>
      <c r="K34" s="1100">
        <f>SUM(K40,K41)</f>
        <v>34</v>
      </c>
      <c r="L34" s="1100">
        <f t="shared" ref="L34:M34" si="12">SUM(L40,L41)</f>
        <v>34</v>
      </c>
      <c r="M34" s="1100">
        <f t="shared" si="12"/>
        <v>34</v>
      </c>
      <c r="N34" s="3234" t="s">
        <v>2502</v>
      </c>
      <c r="O34" s="2395" t="s">
        <v>4244</v>
      </c>
      <c r="P34" s="2916" t="s">
        <v>1582</v>
      </c>
      <c r="Q34" s="2916" t="s">
        <v>1737</v>
      </c>
      <c r="R34" s="2916" t="s">
        <v>1338</v>
      </c>
      <c r="S34" s="2916" t="s">
        <v>1409</v>
      </c>
      <c r="T34" s="2916" t="s">
        <v>1409</v>
      </c>
      <c r="U34" s="2916" t="s">
        <v>1409</v>
      </c>
      <c r="V34" s="2916" t="s">
        <v>1040</v>
      </c>
    </row>
    <row r="35" spans="1:22" ht="31.15" customHeight="1">
      <c r="A35" s="3199"/>
      <c r="B35" s="3192"/>
      <c r="C35" s="3185"/>
      <c r="D35" s="1796" t="s">
        <v>1532</v>
      </c>
      <c r="E35" s="1579">
        <v>14.82</v>
      </c>
      <c r="F35" s="1534">
        <f t="shared" si="0"/>
        <v>0.39001349527665319</v>
      </c>
      <c r="G35" s="1579">
        <v>27</v>
      </c>
      <c r="H35" s="1607">
        <f>24-3.4</f>
        <v>20.6</v>
      </c>
      <c r="I35" s="1786">
        <f t="shared" si="11"/>
        <v>0.50485436893203883</v>
      </c>
      <c r="J35" s="948">
        <f>SUM(J38,J41)</f>
        <v>31</v>
      </c>
      <c r="K35" s="1053">
        <f>SUM(K38,)</f>
        <v>27</v>
      </c>
      <c r="L35" s="1535">
        <v>10</v>
      </c>
      <c r="M35" s="1535">
        <v>10</v>
      </c>
      <c r="N35" s="3234"/>
      <c r="O35" s="2396"/>
      <c r="P35" s="2916"/>
      <c r="Q35" s="2916"/>
      <c r="R35" s="2916"/>
      <c r="S35" s="2916"/>
      <c r="T35" s="2916"/>
      <c r="U35" s="2916"/>
      <c r="V35" s="2916"/>
    </row>
    <row r="36" spans="1:22" ht="31.15" customHeight="1">
      <c r="A36" s="3199"/>
      <c r="B36" s="3192"/>
      <c r="C36" s="3185"/>
      <c r="D36" s="1796" t="s">
        <v>3063</v>
      </c>
      <c r="E36" s="1579"/>
      <c r="F36" s="1534"/>
      <c r="G36" s="1579"/>
      <c r="H36" s="1607">
        <v>3.4</v>
      </c>
      <c r="I36" s="1786">
        <f t="shared" si="11"/>
        <v>-1</v>
      </c>
      <c r="J36" s="948">
        <f>J42</f>
        <v>0</v>
      </c>
      <c r="K36" s="1053">
        <f>K39</f>
        <v>2</v>
      </c>
      <c r="L36" s="1535">
        <v>0</v>
      </c>
      <c r="M36" s="1535">
        <v>0</v>
      </c>
      <c r="N36" s="3234"/>
      <c r="O36" s="2396"/>
      <c r="P36" s="2916"/>
      <c r="Q36" s="2916"/>
      <c r="R36" s="2916"/>
      <c r="S36" s="2916"/>
      <c r="T36" s="2916"/>
      <c r="U36" s="2916"/>
      <c r="V36" s="2916"/>
    </row>
    <row r="37" spans="1:22" ht="38.25" customHeight="1">
      <c r="A37" s="3199"/>
      <c r="B37" s="3192"/>
      <c r="C37" s="3185"/>
      <c r="D37" s="1797" t="s">
        <v>1076</v>
      </c>
      <c r="E37" s="1573">
        <f>SUM(E34:E35)</f>
        <v>49.32</v>
      </c>
      <c r="F37" s="1514">
        <f t="shared" si="0"/>
        <v>0.17599351175993516</v>
      </c>
      <c r="G37" s="1573">
        <f t="shared" ref="G37" si="13">SUM(G34:G35)</f>
        <v>61</v>
      </c>
      <c r="H37" s="1608">
        <f>SUM(H34:H36)</f>
        <v>58</v>
      </c>
      <c r="I37" s="1787">
        <f t="shared" si="11"/>
        <v>0.1206896551724137</v>
      </c>
      <c r="J37" s="1704">
        <f>SUM(J34:J36)</f>
        <v>65</v>
      </c>
      <c r="K37" s="1560">
        <f>SUM(K34,K35,K36)</f>
        <v>63</v>
      </c>
      <c r="L37" s="1560">
        <f t="shared" ref="L37:M37" si="14">SUM(L34,L35,L36)</f>
        <v>44</v>
      </c>
      <c r="M37" s="1560">
        <f t="shared" si="14"/>
        <v>44</v>
      </c>
      <c r="N37" s="3234"/>
      <c r="O37" s="2396"/>
      <c r="P37" s="2916"/>
      <c r="Q37" s="2916"/>
      <c r="R37" s="2916"/>
      <c r="S37" s="2916"/>
      <c r="T37" s="2916"/>
      <c r="U37" s="2916"/>
      <c r="V37" s="2916"/>
    </row>
    <row r="38" spans="1:22" ht="33.75" hidden="1" customHeight="1">
      <c r="A38" s="3247"/>
      <c r="B38" s="3242" t="s">
        <v>3315</v>
      </c>
      <c r="C38" s="1639" t="s">
        <v>1532</v>
      </c>
      <c r="D38" s="1799"/>
      <c r="E38" s="1800"/>
      <c r="F38" s="1599"/>
      <c r="G38" s="1800"/>
      <c r="H38" s="1801"/>
      <c r="I38" s="1005"/>
      <c r="J38" s="1068">
        <v>27</v>
      </c>
      <c r="K38" s="989">
        <v>27</v>
      </c>
      <c r="L38" s="1122">
        <v>40.5</v>
      </c>
      <c r="M38" s="989">
        <v>40.5</v>
      </c>
      <c r="N38" s="2229"/>
      <c r="O38" s="1802" t="s">
        <v>3920</v>
      </c>
      <c r="P38" s="1803"/>
      <c r="Q38" s="1803"/>
      <c r="R38" s="1804"/>
      <c r="S38" s="1804"/>
      <c r="T38" s="1804"/>
      <c r="U38" s="1804"/>
      <c r="V38" s="1804"/>
    </row>
    <row r="39" spans="1:22" ht="24" hidden="1" customHeight="1">
      <c r="A39" s="3248"/>
      <c r="B39" s="3243"/>
      <c r="C39" s="1639" t="s">
        <v>3063</v>
      </c>
      <c r="D39" s="1799"/>
      <c r="E39" s="1800"/>
      <c r="F39" s="1599"/>
      <c r="G39" s="1800"/>
      <c r="H39" s="1801"/>
      <c r="I39" s="1005"/>
      <c r="J39" s="1068">
        <v>2</v>
      </c>
      <c r="K39" s="989">
        <v>2</v>
      </c>
      <c r="L39" s="1122"/>
      <c r="M39" s="989"/>
      <c r="N39" s="2229"/>
      <c r="O39" s="1802" t="s">
        <v>3921</v>
      </c>
      <c r="P39" s="1803"/>
      <c r="Q39" s="1803"/>
      <c r="R39" s="1804"/>
      <c r="S39" s="1804"/>
      <c r="T39" s="1804"/>
      <c r="U39" s="1804"/>
      <c r="V39" s="1804"/>
    </row>
    <row r="40" spans="1:22" ht="33.75" hidden="1" customHeight="1">
      <c r="A40" s="1805"/>
      <c r="B40" s="1798" t="s">
        <v>3316</v>
      </c>
      <c r="C40" s="1639" t="s">
        <v>471</v>
      </c>
      <c r="D40" s="1799"/>
      <c r="E40" s="1800"/>
      <c r="F40" s="1599"/>
      <c r="G40" s="1800"/>
      <c r="H40" s="1801"/>
      <c r="I40" s="1005"/>
      <c r="J40" s="1068">
        <v>30</v>
      </c>
      <c r="K40" s="989">
        <v>30</v>
      </c>
      <c r="L40" s="1122">
        <v>30</v>
      </c>
      <c r="M40" s="989">
        <v>30</v>
      </c>
      <c r="N40" s="2229"/>
      <c r="O40" s="1806" t="s">
        <v>3318</v>
      </c>
      <c r="P40" s="1803"/>
      <c r="Q40" s="1803"/>
      <c r="R40" s="1804"/>
      <c r="S40" s="1804"/>
      <c r="T40" s="1804"/>
      <c r="U40" s="1804"/>
      <c r="V40" s="1804"/>
    </row>
    <row r="41" spans="1:22" ht="63" hidden="1" customHeight="1">
      <c r="A41" s="2966" t="s">
        <v>3963</v>
      </c>
      <c r="B41" s="2538" t="s">
        <v>3317</v>
      </c>
      <c r="C41" s="3252" t="s">
        <v>471</v>
      </c>
      <c r="D41" s="1807"/>
      <c r="E41" s="993"/>
      <c r="F41" s="1183"/>
      <c r="G41" s="993"/>
      <c r="H41" s="993"/>
      <c r="I41" s="989"/>
      <c r="J41" s="1068">
        <v>4</v>
      </c>
      <c r="K41" s="989">
        <v>4</v>
      </c>
      <c r="L41" s="1122">
        <v>4</v>
      </c>
      <c r="M41" s="989">
        <v>4</v>
      </c>
      <c r="N41" s="2229"/>
      <c r="O41" s="3182" t="s">
        <v>3319</v>
      </c>
      <c r="P41" s="1803"/>
      <c r="Q41" s="1803"/>
      <c r="R41" s="1804"/>
      <c r="S41" s="1804"/>
      <c r="T41" s="1804"/>
      <c r="U41" s="1804"/>
      <c r="V41" s="1804"/>
    </row>
    <row r="42" spans="1:22" ht="50.25" hidden="1" customHeight="1">
      <c r="A42" s="2968"/>
      <c r="B42" s="2539"/>
      <c r="C42" s="3253"/>
      <c r="D42" s="1807"/>
      <c r="E42" s="993"/>
      <c r="F42" s="1183"/>
      <c r="G42" s="993"/>
      <c r="H42" s="993"/>
      <c r="I42" s="989"/>
      <c r="J42" s="989"/>
      <c r="K42" s="989"/>
      <c r="L42" s="1122"/>
      <c r="M42" s="989"/>
      <c r="N42" s="2229"/>
      <c r="O42" s="3183"/>
      <c r="P42" s="1803"/>
      <c r="Q42" s="1803"/>
      <c r="R42" s="1804"/>
      <c r="S42" s="1804"/>
      <c r="T42" s="1804"/>
      <c r="U42" s="1804"/>
      <c r="V42" s="1804"/>
    </row>
    <row r="43" spans="1:22" ht="31.5" customHeight="1">
      <c r="A43" s="3209" t="s">
        <v>2170</v>
      </c>
      <c r="B43" s="3213" t="s">
        <v>1269</v>
      </c>
      <c r="C43" s="3244">
        <v>188711925</v>
      </c>
      <c r="D43" s="2244" t="s">
        <v>471</v>
      </c>
      <c r="E43" s="1527">
        <v>0</v>
      </c>
      <c r="F43" s="1533"/>
      <c r="G43" s="1527">
        <v>120</v>
      </c>
      <c r="H43" s="1535">
        <f>20+24</f>
        <v>44</v>
      </c>
      <c r="I43" s="1053"/>
      <c r="J43" s="1053">
        <f>SUM(J48,J49,J52,J53,)</f>
        <v>163.16</v>
      </c>
      <c r="K43" s="1053">
        <v>0</v>
      </c>
      <c r="L43" s="1053">
        <f t="shared" ref="L43:M43" si="15">SUM(L48,L49,L52,L53,)</f>
        <v>215</v>
      </c>
      <c r="M43" s="1053">
        <f t="shared" si="15"/>
        <v>218</v>
      </c>
      <c r="N43" s="3235" t="s">
        <v>2503</v>
      </c>
      <c r="O43" s="3186" t="s">
        <v>4192</v>
      </c>
      <c r="P43" s="2912" t="s">
        <v>1583</v>
      </c>
      <c r="Q43" s="2912" t="s">
        <v>4157</v>
      </c>
      <c r="R43" s="2910" t="s">
        <v>145</v>
      </c>
      <c r="S43" s="2910" t="s">
        <v>1409</v>
      </c>
      <c r="T43" s="2910" t="s">
        <v>1409</v>
      </c>
      <c r="U43" s="2910" t="s">
        <v>1409</v>
      </c>
      <c r="V43" s="2910" t="s">
        <v>4158</v>
      </c>
    </row>
    <row r="44" spans="1:22" ht="30.75" customHeight="1">
      <c r="A44" s="3209"/>
      <c r="B44" s="3213"/>
      <c r="C44" s="3244"/>
      <c r="D44" s="952" t="s">
        <v>2928</v>
      </c>
      <c r="E44" s="1162"/>
      <c r="F44" s="1410"/>
      <c r="G44" s="1162"/>
      <c r="H44" s="1162"/>
      <c r="I44" s="1053"/>
      <c r="J44" s="1053"/>
      <c r="K44" s="1053">
        <v>163.16</v>
      </c>
      <c r="L44" s="1053"/>
      <c r="M44" s="1053"/>
      <c r="N44" s="3236"/>
      <c r="O44" s="3186"/>
      <c r="P44" s="2912"/>
      <c r="Q44" s="2912"/>
      <c r="R44" s="2911"/>
      <c r="S44" s="2911"/>
      <c r="T44" s="2911"/>
      <c r="U44" s="2911"/>
      <c r="V44" s="2911"/>
    </row>
    <row r="45" spans="1:22" ht="30" customHeight="1">
      <c r="A45" s="3209"/>
      <c r="B45" s="3213"/>
      <c r="C45" s="3244"/>
      <c r="D45" s="2245" t="s">
        <v>1532</v>
      </c>
      <c r="E45" s="1579"/>
      <c r="F45" s="1603"/>
      <c r="G45" s="1579"/>
      <c r="H45" s="1607"/>
      <c r="I45" s="1053"/>
      <c r="J45" s="1053">
        <f>SUM(J50,)</f>
        <v>2.8</v>
      </c>
      <c r="K45" s="1053">
        <f t="shared" ref="K45:M45" si="16">SUM(K50,)</f>
        <v>2.8</v>
      </c>
      <c r="L45" s="1053">
        <f t="shared" si="16"/>
        <v>0</v>
      </c>
      <c r="M45" s="1053">
        <f t="shared" si="16"/>
        <v>0</v>
      </c>
      <c r="N45" s="3236"/>
      <c r="O45" s="3186"/>
      <c r="P45" s="2912"/>
      <c r="Q45" s="2912"/>
      <c r="R45" s="2911"/>
      <c r="S45" s="2911"/>
      <c r="T45" s="2911"/>
      <c r="U45" s="2911"/>
      <c r="V45" s="2911"/>
    </row>
    <row r="46" spans="1:22" ht="30" customHeight="1">
      <c r="A46" s="3209"/>
      <c r="B46" s="3213"/>
      <c r="C46" s="3244"/>
      <c r="D46" s="2245" t="s">
        <v>3063</v>
      </c>
      <c r="E46" s="1579"/>
      <c r="F46" s="1603"/>
      <c r="G46" s="1579"/>
      <c r="H46" s="1607"/>
      <c r="I46" s="1053"/>
      <c r="J46" s="1053">
        <f>SUM(J51,)</f>
        <v>7.5</v>
      </c>
      <c r="K46" s="1053">
        <f t="shared" ref="K46:M46" si="17">SUM(K51,)</f>
        <v>7.5</v>
      </c>
      <c r="L46" s="1053">
        <f t="shared" si="17"/>
        <v>0</v>
      </c>
      <c r="M46" s="1053">
        <f t="shared" si="17"/>
        <v>0</v>
      </c>
      <c r="N46" s="3236"/>
      <c r="O46" s="3186"/>
      <c r="P46" s="2912"/>
      <c r="Q46" s="2912"/>
      <c r="R46" s="2911"/>
      <c r="S46" s="2911"/>
      <c r="T46" s="2911"/>
      <c r="U46" s="2911"/>
      <c r="V46" s="2911"/>
    </row>
    <row r="47" spans="1:22" ht="31.5" customHeight="1">
      <c r="A47" s="3209"/>
      <c r="B47" s="3213"/>
      <c r="C47" s="3244"/>
      <c r="D47" s="2246" t="s">
        <v>1076</v>
      </c>
      <c r="E47" s="1573">
        <f>E43</f>
        <v>0</v>
      </c>
      <c r="F47" s="1574"/>
      <c r="G47" s="1573">
        <f t="shared" ref="G47:H47" si="18">G43</f>
        <v>120</v>
      </c>
      <c r="H47" s="1608">
        <f t="shared" si="18"/>
        <v>44</v>
      </c>
      <c r="I47" s="1059"/>
      <c r="J47" s="1736">
        <f>SUM(J43,J45,J46)</f>
        <v>173.46</v>
      </c>
      <c r="K47" s="1059">
        <f>SUM(K43,K45,K46,K44)</f>
        <v>173.46</v>
      </c>
      <c r="L47" s="1059">
        <f t="shared" ref="L47:M47" si="19">SUM(L43,L45,L46,L44)</f>
        <v>215</v>
      </c>
      <c r="M47" s="1059">
        <f t="shared" si="19"/>
        <v>218</v>
      </c>
      <c r="N47" s="3237"/>
      <c r="O47" s="3187"/>
      <c r="P47" s="2916"/>
      <c r="Q47" s="2916"/>
      <c r="R47" s="2912"/>
      <c r="S47" s="2912"/>
      <c r="T47" s="2912"/>
      <c r="U47" s="2912"/>
      <c r="V47" s="2911"/>
    </row>
    <row r="48" spans="1:22" ht="37.9" hidden="1" customHeight="1">
      <c r="A48" s="1883" t="s">
        <v>3798</v>
      </c>
      <c r="B48" s="957" t="s">
        <v>3799</v>
      </c>
      <c r="C48" s="1623"/>
      <c r="D48" s="2247" t="s">
        <v>471</v>
      </c>
      <c r="E48" s="1136"/>
      <c r="F48" s="1809"/>
      <c r="G48" s="1136"/>
      <c r="H48" s="1136"/>
      <c r="I48" s="1001"/>
      <c r="J48" s="989">
        <v>15</v>
      </c>
      <c r="K48" s="989">
        <v>15</v>
      </c>
      <c r="L48" s="1123">
        <v>15</v>
      </c>
      <c r="M48" s="989">
        <v>15</v>
      </c>
      <c r="N48" s="2229"/>
      <c r="O48" s="957"/>
      <c r="P48" s="1803"/>
      <c r="Q48" s="1803"/>
      <c r="R48" s="1803"/>
      <c r="S48" s="1803"/>
      <c r="T48" s="1803"/>
      <c r="U48" s="1804"/>
      <c r="V48" s="2911"/>
    </row>
    <row r="49" spans="1:22" ht="37.15" hidden="1" customHeight="1">
      <c r="A49" s="1884" t="s">
        <v>3963</v>
      </c>
      <c r="B49" s="957" t="s">
        <v>3964</v>
      </c>
      <c r="C49" s="1623"/>
      <c r="D49" s="2248" t="s">
        <v>471</v>
      </c>
      <c r="E49" s="1136"/>
      <c r="F49" s="1809"/>
      <c r="G49" s="1136"/>
      <c r="H49" s="1136"/>
      <c r="I49" s="1136"/>
      <c r="J49" s="993">
        <v>59.64</v>
      </c>
      <c r="K49" s="993">
        <v>59.64</v>
      </c>
      <c r="L49" s="1637"/>
      <c r="M49" s="993"/>
      <c r="N49" s="2229"/>
      <c r="O49" s="957" t="s">
        <v>3970</v>
      </c>
      <c r="P49" s="1803"/>
      <c r="Q49" s="1804"/>
      <c r="R49" s="1803"/>
      <c r="S49" s="1804"/>
      <c r="T49" s="1804"/>
      <c r="U49" s="1804"/>
      <c r="V49" s="2911"/>
    </row>
    <row r="50" spans="1:22" ht="41.45" hidden="1" customHeight="1">
      <c r="A50" s="1720"/>
      <c r="B50" s="2563" t="s">
        <v>3965</v>
      </c>
      <c r="C50" s="1623"/>
      <c r="D50" s="1455" t="s">
        <v>1532</v>
      </c>
      <c r="E50" s="1001"/>
      <c r="F50" s="1810"/>
      <c r="G50" s="1001"/>
      <c r="H50" s="1001"/>
      <c r="I50" s="1001"/>
      <c r="J50" s="989">
        <v>2.8</v>
      </c>
      <c r="K50" s="989">
        <v>2.8</v>
      </c>
      <c r="L50" s="989"/>
      <c r="M50" s="989"/>
      <c r="N50" s="2230"/>
      <c r="O50" s="1811" t="s">
        <v>3967</v>
      </c>
      <c r="P50" s="1803"/>
      <c r="Q50" s="1804"/>
      <c r="R50" s="1803"/>
      <c r="S50" s="1804"/>
      <c r="T50" s="1804"/>
      <c r="U50" s="1804"/>
      <c r="V50" s="2911"/>
    </row>
    <row r="51" spans="1:22" ht="41.45" hidden="1" customHeight="1">
      <c r="A51" s="1720"/>
      <c r="B51" s="2563"/>
      <c r="C51" s="1623"/>
      <c r="D51" s="1455" t="s">
        <v>3063</v>
      </c>
      <c r="E51" s="1001"/>
      <c r="F51" s="1810"/>
      <c r="G51" s="1001"/>
      <c r="H51" s="1001"/>
      <c r="I51" s="1001"/>
      <c r="J51" s="989">
        <v>7.5</v>
      </c>
      <c r="K51" s="989">
        <v>7.5</v>
      </c>
      <c r="L51" s="989"/>
      <c r="M51" s="989"/>
      <c r="N51" s="2230"/>
      <c r="O51" s="1811"/>
      <c r="P51" s="1803"/>
      <c r="Q51" s="1804"/>
      <c r="R51" s="1803"/>
      <c r="S51" s="1804"/>
      <c r="T51" s="1804"/>
      <c r="U51" s="1804"/>
      <c r="V51" s="2911"/>
    </row>
    <row r="52" spans="1:22" ht="30.6" hidden="1" customHeight="1">
      <c r="A52" s="1720"/>
      <c r="B52" s="2563"/>
      <c r="C52" s="1623"/>
      <c r="D52" s="2249" t="s">
        <v>471</v>
      </c>
      <c r="E52" s="1001"/>
      <c r="F52" s="1810"/>
      <c r="G52" s="1001"/>
      <c r="H52" s="1001"/>
      <c r="I52" s="1001"/>
      <c r="J52" s="989">
        <v>32</v>
      </c>
      <c r="K52" s="989">
        <v>32</v>
      </c>
      <c r="L52" s="989">
        <v>200</v>
      </c>
      <c r="M52" s="989">
        <v>203</v>
      </c>
      <c r="N52" s="2230"/>
      <c r="O52" s="1811"/>
      <c r="P52" s="1803"/>
      <c r="Q52" s="1804"/>
      <c r="R52" s="1803"/>
      <c r="S52" s="1804"/>
      <c r="T52" s="1804"/>
      <c r="U52" s="1804"/>
      <c r="V52" s="2911"/>
    </row>
    <row r="53" spans="1:22" ht="36" hidden="1" customHeight="1">
      <c r="A53" s="1720"/>
      <c r="B53" s="957" t="s">
        <v>3966</v>
      </c>
      <c r="C53" s="1623"/>
      <c r="D53" s="2249" t="s">
        <v>471</v>
      </c>
      <c r="E53" s="1001"/>
      <c r="F53" s="1810"/>
      <c r="G53" s="1001"/>
      <c r="H53" s="1001"/>
      <c r="I53" s="1001"/>
      <c r="J53" s="989">
        <v>56.52</v>
      </c>
      <c r="K53" s="989">
        <v>56.52</v>
      </c>
      <c r="L53" s="989"/>
      <c r="M53" s="989"/>
      <c r="N53" s="2230"/>
      <c r="O53" s="1811" t="s">
        <v>3968</v>
      </c>
      <c r="P53" s="1803"/>
      <c r="Q53" s="1804"/>
      <c r="R53" s="1803"/>
      <c r="S53" s="1804"/>
      <c r="T53" s="1804"/>
      <c r="U53" s="1804"/>
      <c r="V53" s="2911"/>
    </row>
    <row r="54" spans="1:22" ht="27.75" customHeight="1">
      <c r="A54" s="3208" t="s">
        <v>2171</v>
      </c>
      <c r="B54" s="3213" t="s">
        <v>2959</v>
      </c>
      <c r="C54" s="3216">
        <v>188711925</v>
      </c>
      <c r="D54" s="2250" t="s">
        <v>2928</v>
      </c>
      <c r="E54" s="1510">
        <v>15.795</v>
      </c>
      <c r="F54" s="1526">
        <f t="shared" si="0"/>
        <v>6.6356441911997468</v>
      </c>
      <c r="G54" s="1510">
        <v>120.605</v>
      </c>
      <c r="H54" s="1793">
        <v>120.605</v>
      </c>
      <c r="I54" s="1100"/>
      <c r="J54" s="1605"/>
      <c r="K54" s="1793">
        <v>24.053999999999998</v>
      </c>
      <c r="L54" s="1813"/>
      <c r="M54" s="1793"/>
      <c r="N54" s="3235" t="s">
        <v>2505</v>
      </c>
      <c r="O54" s="3186" t="s">
        <v>3481</v>
      </c>
      <c r="P54" s="2912" t="s">
        <v>1584</v>
      </c>
      <c r="Q54" s="2910" t="s">
        <v>2960</v>
      </c>
      <c r="R54" s="1528" t="s">
        <v>434</v>
      </c>
      <c r="S54" s="2910" t="s">
        <v>434</v>
      </c>
      <c r="T54" s="2910" t="s">
        <v>1826</v>
      </c>
      <c r="U54" s="2910"/>
      <c r="V54" s="2911"/>
    </row>
    <row r="55" spans="1:22" ht="26.25" customHeight="1">
      <c r="A55" s="3209"/>
      <c r="B55" s="3213"/>
      <c r="C55" s="3216"/>
      <c r="D55" s="2251" t="s">
        <v>471</v>
      </c>
      <c r="E55" s="1579"/>
      <c r="F55" s="1580"/>
      <c r="G55" s="1579"/>
      <c r="H55" s="1607"/>
      <c r="I55" s="1162"/>
      <c r="J55" s="1158">
        <v>24.055</v>
      </c>
      <c r="K55" s="1535"/>
      <c r="L55" s="1658"/>
      <c r="M55" s="1535"/>
      <c r="N55" s="3236"/>
      <c r="O55" s="3186"/>
      <c r="P55" s="2912"/>
      <c r="Q55" s="2912"/>
      <c r="R55" s="1528"/>
      <c r="S55" s="2912"/>
      <c r="T55" s="2912"/>
      <c r="U55" s="2912"/>
      <c r="V55" s="2911"/>
    </row>
    <row r="56" spans="1:22" ht="31.5" customHeight="1">
      <c r="A56" s="3209"/>
      <c r="B56" s="3213"/>
      <c r="C56" s="3216"/>
      <c r="D56" s="2251" t="s">
        <v>246</v>
      </c>
      <c r="E56" s="1579"/>
      <c r="F56" s="1580"/>
      <c r="G56" s="1579"/>
      <c r="H56" s="1607"/>
      <c r="I56" s="1162"/>
      <c r="J56" s="1158">
        <v>136.30799999999999</v>
      </c>
      <c r="K56" s="1658">
        <v>136.30799999999999</v>
      </c>
      <c r="L56" s="1658">
        <v>136.30799999999999</v>
      </c>
      <c r="M56" s="1535"/>
      <c r="N56" s="3236"/>
      <c r="O56" s="3187"/>
      <c r="P56" s="2912"/>
      <c r="Q56" s="1532" t="s">
        <v>1827</v>
      </c>
      <c r="R56" s="1528" t="s">
        <v>434</v>
      </c>
      <c r="S56" s="1528" t="s">
        <v>434</v>
      </c>
      <c r="T56" s="1528" t="s">
        <v>1828</v>
      </c>
      <c r="U56" s="1528"/>
      <c r="V56" s="2911"/>
    </row>
    <row r="57" spans="1:22" ht="33" customHeight="1">
      <c r="A57" s="3209"/>
      <c r="B57" s="3213"/>
      <c r="C57" s="3216"/>
      <c r="D57" s="2251" t="s">
        <v>1122</v>
      </c>
      <c r="E57" s="1579"/>
      <c r="F57" s="1580"/>
      <c r="G57" s="1579"/>
      <c r="H57" s="1607"/>
      <c r="I57" s="1162"/>
      <c r="J57" s="1158"/>
      <c r="K57" s="1535"/>
      <c r="L57" s="1658"/>
      <c r="M57" s="1535"/>
      <c r="N57" s="3236"/>
      <c r="O57" s="3187"/>
      <c r="P57" s="2912"/>
      <c r="Q57" s="2910" t="s">
        <v>1829</v>
      </c>
      <c r="R57" s="1528" t="s">
        <v>434</v>
      </c>
      <c r="S57" s="2910" t="s">
        <v>434</v>
      </c>
      <c r="T57" s="2910" t="s">
        <v>324</v>
      </c>
      <c r="U57" s="2910"/>
      <c r="V57" s="2911"/>
    </row>
    <row r="58" spans="1:22" ht="37.9" customHeight="1">
      <c r="A58" s="3209"/>
      <c r="B58" s="3213"/>
      <c r="C58" s="3216"/>
      <c r="D58" s="2251" t="s">
        <v>1394</v>
      </c>
      <c r="E58" s="1579"/>
      <c r="F58" s="1580"/>
      <c r="G58" s="1579"/>
      <c r="H58" s="1607"/>
      <c r="I58" s="1162"/>
      <c r="J58" s="1158"/>
      <c r="K58" s="1535"/>
      <c r="L58" s="1658">
        <v>24.053999999999998</v>
      </c>
      <c r="M58" s="1535"/>
      <c r="N58" s="3236"/>
      <c r="O58" s="3187"/>
      <c r="P58" s="2912"/>
      <c r="Q58" s="2912"/>
      <c r="R58" s="1528"/>
      <c r="S58" s="2912"/>
      <c r="T58" s="2912"/>
      <c r="U58" s="2912"/>
      <c r="V58" s="2911"/>
    </row>
    <row r="59" spans="1:22" ht="35.25" customHeight="1">
      <c r="A59" s="3209"/>
      <c r="B59" s="3213"/>
      <c r="C59" s="3216"/>
      <c r="D59" s="2252" t="s">
        <v>1076</v>
      </c>
      <c r="E59" s="1573">
        <f>SUM(E54:E57)</f>
        <v>15.795</v>
      </c>
      <c r="F59" s="1574">
        <f t="shared" si="0"/>
        <v>6.6356441911997468</v>
      </c>
      <c r="G59" s="1573">
        <f t="shared" ref="G59:M59" si="20">SUM(G54:G57)</f>
        <v>120.605</v>
      </c>
      <c r="H59" s="1608">
        <f>SUM(H54:H57)</f>
        <v>120.605</v>
      </c>
      <c r="I59" s="1060">
        <f t="shared" ref="I59" si="21">J59/H59-1</f>
        <v>0.32965465776709091</v>
      </c>
      <c r="J59" s="1704">
        <f>SUM(J54:J57)</f>
        <v>160.363</v>
      </c>
      <c r="K59" s="1560">
        <f t="shared" si="20"/>
        <v>160.36199999999999</v>
      </c>
      <c r="L59" s="1560">
        <f>SUM(L54:L58)</f>
        <v>160.36199999999999</v>
      </c>
      <c r="M59" s="1560">
        <f t="shared" si="20"/>
        <v>0</v>
      </c>
      <c r="N59" s="3237"/>
      <c r="O59" s="3187"/>
      <c r="P59" s="2916"/>
      <c r="Q59" s="1528" t="s">
        <v>3032</v>
      </c>
      <c r="R59" s="1528" t="s">
        <v>1805</v>
      </c>
      <c r="S59" s="1528" t="s">
        <v>434</v>
      </c>
      <c r="T59" s="1528" t="s">
        <v>434</v>
      </c>
      <c r="U59" s="1528"/>
      <c r="V59" s="2912"/>
    </row>
    <row r="60" spans="1:22" ht="28.15" customHeight="1">
      <c r="A60" s="3199" t="s">
        <v>2172</v>
      </c>
      <c r="B60" s="3191" t="s">
        <v>1270</v>
      </c>
      <c r="C60" s="3184">
        <v>188711925</v>
      </c>
      <c r="D60" s="1808" t="s">
        <v>471</v>
      </c>
      <c r="E60" s="1527"/>
      <c r="F60" s="1534" t="e">
        <f t="shared" si="0"/>
        <v>#DIV/0!</v>
      </c>
      <c r="G60" s="1527">
        <v>40</v>
      </c>
      <c r="H60" s="1535">
        <v>25</v>
      </c>
      <c r="I60" s="1053"/>
      <c r="J60" s="948">
        <f>J70</f>
        <v>0</v>
      </c>
      <c r="K60" s="1053">
        <f>K68</f>
        <v>25</v>
      </c>
      <c r="L60" s="1053">
        <f t="shared" ref="L60:M60" si="22">L68</f>
        <v>25</v>
      </c>
      <c r="M60" s="1053">
        <f t="shared" si="22"/>
        <v>25</v>
      </c>
      <c r="N60" s="3235" t="s">
        <v>2500</v>
      </c>
      <c r="O60" s="3186" t="s">
        <v>4160</v>
      </c>
      <c r="P60" s="2912" t="s">
        <v>1585</v>
      </c>
      <c r="Q60" s="2912" t="s">
        <v>663</v>
      </c>
      <c r="R60" s="2910" t="s">
        <v>142</v>
      </c>
      <c r="S60" s="2910" t="s">
        <v>142</v>
      </c>
      <c r="T60" s="2910" t="s">
        <v>142</v>
      </c>
      <c r="U60" s="2910" t="s">
        <v>142</v>
      </c>
      <c r="V60" s="2910" t="s">
        <v>2501</v>
      </c>
    </row>
    <row r="61" spans="1:22" ht="26.25" customHeight="1">
      <c r="A61" s="3199"/>
      <c r="B61" s="3192"/>
      <c r="C61" s="3185"/>
      <c r="D61" s="1796" t="s">
        <v>1532</v>
      </c>
      <c r="E61" s="1579">
        <v>12.627000000000001</v>
      </c>
      <c r="F61" s="1580">
        <f t="shared" si="0"/>
        <v>0.42551674982181042</v>
      </c>
      <c r="G61" s="1579">
        <v>16</v>
      </c>
      <c r="H61" s="1607">
        <v>18</v>
      </c>
      <c r="I61" s="1053"/>
      <c r="J61" s="948">
        <f>SUM(J65,J66,J72)</f>
        <v>11.038</v>
      </c>
      <c r="K61" s="1053">
        <f t="shared" ref="K61" si="23">SUM(K65,K66,K72)</f>
        <v>11.038</v>
      </c>
      <c r="L61" s="1053">
        <v>22.076000000000001</v>
      </c>
      <c r="M61" s="1053">
        <v>22.076000000000001</v>
      </c>
      <c r="N61" s="3236"/>
      <c r="O61" s="3187"/>
      <c r="P61" s="2912"/>
      <c r="Q61" s="2912"/>
      <c r="R61" s="2911"/>
      <c r="S61" s="2911"/>
      <c r="T61" s="2911"/>
      <c r="U61" s="2911"/>
      <c r="V61" s="2911"/>
    </row>
    <row r="62" spans="1:22" ht="26.25" customHeight="1">
      <c r="A62" s="3199"/>
      <c r="B62" s="3192"/>
      <c r="C62" s="3185"/>
      <c r="D62" s="1796" t="s">
        <v>3063</v>
      </c>
      <c r="E62" s="1579"/>
      <c r="F62" s="1580"/>
      <c r="G62" s="1579"/>
      <c r="H62" s="1607"/>
      <c r="I62" s="1053"/>
      <c r="J62" s="948">
        <f>SUM(J64,J67,J69,J73)</f>
        <v>17.112000000000002</v>
      </c>
      <c r="K62" s="1053">
        <f t="shared" ref="K62:M62" si="24">SUM(K64,K67,K69,K73)</f>
        <v>17.112000000000002</v>
      </c>
      <c r="L62" s="1053">
        <f t="shared" si="24"/>
        <v>0</v>
      </c>
      <c r="M62" s="1053">
        <f t="shared" si="24"/>
        <v>0</v>
      </c>
      <c r="N62" s="3236"/>
      <c r="O62" s="3187"/>
      <c r="P62" s="2912"/>
      <c r="Q62" s="2912"/>
      <c r="R62" s="2911"/>
      <c r="S62" s="2911"/>
      <c r="T62" s="2911"/>
      <c r="U62" s="2911"/>
      <c r="V62" s="2911"/>
    </row>
    <row r="63" spans="1:22" ht="29.25" customHeight="1">
      <c r="A63" s="3200"/>
      <c r="B63" s="3192"/>
      <c r="C63" s="3185"/>
      <c r="D63" s="1797" t="s">
        <v>1076</v>
      </c>
      <c r="E63" s="1573">
        <f>SUM(E60:E61)</f>
        <v>12.627000000000001</v>
      </c>
      <c r="F63" s="1574">
        <f t="shared" si="0"/>
        <v>2.4054011245743245</v>
      </c>
      <c r="G63" s="1573">
        <f t="shared" ref="G63:H63" si="25">SUM(G60:G61)</f>
        <v>56</v>
      </c>
      <c r="H63" s="1608">
        <f t="shared" si="25"/>
        <v>43</v>
      </c>
      <c r="I63" s="1060">
        <f t="shared" ref="I63" si="26">J63/H63-1</f>
        <v>-0.34534883720930232</v>
      </c>
      <c r="J63" s="1704">
        <f>SUM(J60:J62)</f>
        <v>28.150000000000002</v>
      </c>
      <c r="K63" s="1059">
        <f t="shared" ref="K63:M63" si="27">SUM(K60:K62)</f>
        <v>53.15</v>
      </c>
      <c r="L63" s="1059">
        <f t="shared" si="27"/>
        <v>47.076000000000001</v>
      </c>
      <c r="M63" s="1059">
        <f t="shared" si="27"/>
        <v>47.076000000000001</v>
      </c>
      <c r="N63" s="3237"/>
      <c r="O63" s="3187"/>
      <c r="P63" s="2916"/>
      <c r="Q63" s="2916"/>
      <c r="R63" s="2912"/>
      <c r="S63" s="2912"/>
      <c r="T63" s="2912"/>
      <c r="U63" s="2912"/>
      <c r="V63" s="2912"/>
    </row>
    <row r="64" spans="1:22" ht="29.25" hidden="1" customHeight="1">
      <c r="A64" s="3249" t="s">
        <v>3350</v>
      </c>
      <c r="B64" s="2601" t="s">
        <v>3320</v>
      </c>
      <c r="C64" s="1815"/>
      <c r="D64" s="1189" t="s">
        <v>3063</v>
      </c>
      <c r="E64" s="1598"/>
      <c r="F64" s="1599"/>
      <c r="G64" s="1598"/>
      <c r="H64" s="1783"/>
      <c r="I64" s="1005"/>
      <c r="J64" s="1068">
        <v>5</v>
      </c>
      <c r="K64" s="989">
        <v>5</v>
      </c>
      <c r="L64" s="989"/>
      <c r="M64" s="989"/>
      <c r="N64" s="2231"/>
      <c r="O64" s="961" t="s">
        <v>3324</v>
      </c>
      <c r="P64" s="1803"/>
      <c r="Q64" s="1803"/>
      <c r="R64" s="1803"/>
      <c r="S64" s="1803"/>
      <c r="T64" s="1803"/>
      <c r="U64" s="1803"/>
      <c r="V64" s="1803"/>
    </row>
    <row r="65" spans="1:22" ht="29.25" hidden="1" customHeight="1">
      <c r="A65" s="3250"/>
      <c r="B65" s="2603"/>
      <c r="C65" s="1815"/>
      <c r="D65" s="1816" t="s">
        <v>1532</v>
      </c>
      <c r="E65" s="1598"/>
      <c r="F65" s="1599"/>
      <c r="G65" s="1598"/>
      <c r="H65" s="1783"/>
      <c r="I65" s="1005"/>
      <c r="J65" s="1068">
        <v>5</v>
      </c>
      <c r="K65" s="989">
        <v>5</v>
      </c>
      <c r="L65" s="989">
        <v>10</v>
      </c>
      <c r="M65" s="989">
        <v>10</v>
      </c>
      <c r="N65" s="2231"/>
      <c r="O65" s="957"/>
      <c r="P65" s="1803"/>
      <c r="Q65" s="1803"/>
      <c r="R65" s="1803"/>
      <c r="S65" s="1803"/>
      <c r="T65" s="1803"/>
      <c r="U65" s="1803"/>
      <c r="V65" s="1803"/>
    </row>
    <row r="66" spans="1:22" ht="36" hidden="1" customHeight="1">
      <c r="A66" s="3250"/>
      <c r="B66" s="2601" t="s">
        <v>3321</v>
      </c>
      <c r="C66" s="1815"/>
      <c r="D66" s="1816" t="s">
        <v>1532</v>
      </c>
      <c r="E66" s="1800"/>
      <c r="F66" s="1817"/>
      <c r="G66" s="1800"/>
      <c r="H66" s="1801"/>
      <c r="I66" s="1005"/>
      <c r="J66" s="1068">
        <v>4</v>
      </c>
      <c r="K66" s="989">
        <v>4</v>
      </c>
      <c r="L66" s="989">
        <v>10</v>
      </c>
      <c r="M66" s="989">
        <v>10</v>
      </c>
      <c r="N66" s="2231"/>
      <c r="O66" s="957" t="s">
        <v>3325</v>
      </c>
      <c r="P66" s="1803"/>
      <c r="Q66" s="1803"/>
      <c r="R66" s="1803"/>
      <c r="S66" s="1803"/>
      <c r="T66" s="1803"/>
      <c r="U66" s="1803"/>
      <c r="V66" s="1803"/>
    </row>
    <row r="67" spans="1:22" ht="33" hidden="1" customHeight="1">
      <c r="A67" s="3250"/>
      <c r="B67" s="2602"/>
      <c r="C67" s="1818"/>
      <c r="D67" s="1382" t="s">
        <v>3063</v>
      </c>
      <c r="E67" s="1800"/>
      <c r="F67" s="1817"/>
      <c r="G67" s="1800"/>
      <c r="H67" s="1801"/>
      <c r="I67" s="1134"/>
      <c r="J67" s="1398">
        <v>7</v>
      </c>
      <c r="K67" s="993">
        <v>7</v>
      </c>
      <c r="L67" s="1637"/>
      <c r="M67" s="989"/>
      <c r="N67" s="2231"/>
      <c r="O67" s="957"/>
      <c r="P67" s="1803"/>
      <c r="Q67" s="1803"/>
      <c r="R67" s="1804"/>
      <c r="S67" s="1804"/>
      <c r="T67" s="1804"/>
      <c r="U67" s="1804"/>
      <c r="V67" s="1804"/>
    </row>
    <row r="68" spans="1:22" ht="56.25" hidden="1" customHeight="1">
      <c r="A68" s="3250"/>
      <c r="B68" s="1819" t="s">
        <v>3348</v>
      </c>
      <c r="C68" s="1815"/>
      <c r="D68" s="1782" t="s">
        <v>471</v>
      </c>
      <c r="E68" s="1598"/>
      <c r="F68" s="1599"/>
      <c r="G68" s="1598"/>
      <c r="H68" s="989"/>
      <c r="I68" s="989"/>
      <c r="J68" s="1068">
        <v>50</v>
      </c>
      <c r="K68" s="993">
        <v>25</v>
      </c>
      <c r="L68" s="1637">
        <v>25</v>
      </c>
      <c r="M68" s="989">
        <v>25</v>
      </c>
      <c r="N68" s="2231"/>
      <c r="O68" s="1802" t="s">
        <v>3349</v>
      </c>
      <c r="P68" s="1803"/>
      <c r="Q68" s="1803"/>
      <c r="R68" s="1804"/>
      <c r="S68" s="1804"/>
      <c r="T68" s="1804"/>
      <c r="U68" s="1804"/>
      <c r="V68" s="1804"/>
    </row>
    <row r="69" spans="1:22" ht="44.25" hidden="1" customHeight="1">
      <c r="A69" s="3250"/>
      <c r="B69" s="3257" t="s">
        <v>3322</v>
      </c>
      <c r="C69" s="1820"/>
      <c r="D69" s="1821" t="s">
        <v>3918</v>
      </c>
      <c r="E69" s="1822"/>
      <c r="F69" s="1823"/>
      <c r="G69" s="1822"/>
      <c r="H69" s="1824"/>
      <c r="I69" s="1125"/>
      <c r="J69" s="1066"/>
      <c r="K69" s="989"/>
      <c r="L69" s="989"/>
      <c r="M69" s="989"/>
      <c r="N69" s="2231"/>
      <c r="O69" s="962" t="s">
        <v>3326</v>
      </c>
      <c r="P69" s="1803"/>
      <c r="Q69" s="1803"/>
      <c r="R69" s="1803"/>
      <c r="S69" s="1803"/>
      <c r="T69" s="1803"/>
      <c r="U69" s="1803"/>
      <c r="V69" s="1803"/>
    </row>
    <row r="70" spans="1:22" ht="29.25" hidden="1" customHeight="1">
      <c r="A70" s="3250"/>
      <c r="B70" s="2496"/>
      <c r="C70" s="1825"/>
      <c r="D70" s="1826" t="s">
        <v>471</v>
      </c>
      <c r="E70" s="1135"/>
      <c r="F70" s="1827"/>
      <c r="G70" s="1135"/>
      <c r="H70" s="1135"/>
      <c r="I70" s="1005"/>
      <c r="J70" s="1828"/>
      <c r="K70" s="1828"/>
      <c r="L70" s="1828"/>
      <c r="M70" s="1828"/>
      <c r="N70" s="2232"/>
      <c r="O70" s="1829"/>
      <c r="P70" s="1830"/>
      <c r="Q70" s="1830"/>
      <c r="R70" s="1830"/>
      <c r="S70" s="1830"/>
      <c r="T70" s="1830"/>
      <c r="U70" s="1830"/>
      <c r="V70" s="1830"/>
    </row>
    <row r="71" spans="1:22" ht="29.25" hidden="1" customHeight="1">
      <c r="A71" s="3250"/>
      <c r="B71" s="2496"/>
      <c r="C71" s="1831"/>
      <c r="D71" s="1832" t="s">
        <v>1532</v>
      </c>
      <c r="E71" s="1800"/>
      <c r="F71" s="1817"/>
      <c r="G71" s="1800"/>
      <c r="H71" s="1801"/>
      <c r="I71" s="1005"/>
      <c r="J71" s="1068"/>
      <c r="K71" s="989"/>
      <c r="L71" s="989"/>
      <c r="M71" s="989"/>
      <c r="N71" s="2231"/>
      <c r="O71" s="961"/>
      <c r="P71" s="1803"/>
      <c r="Q71" s="1803"/>
      <c r="R71" s="1803"/>
      <c r="S71" s="1803"/>
      <c r="T71" s="1803"/>
      <c r="U71" s="1803"/>
      <c r="V71" s="1803"/>
    </row>
    <row r="72" spans="1:22" ht="29.25" hidden="1" customHeight="1">
      <c r="A72" s="3250"/>
      <c r="B72" s="2497"/>
      <c r="C72" s="1831"/>
      <c r="D72" s="1816" t="s">
        <v>1532</v>
      </c>
      <c r="E72" s="1800"/>
      <c r="F72" s="1817"/>
      <c r="G72" s="1800"/>
      <c r="H72" s="1801"/>
      <c r="I72" s="1005"/>
      <c r="J72" s="1068">
        <v>2.0379999999999998</v>
      </c>
      <c r="K72" s="989">
        <v>2.0379999999999998</v>
      </c>
      <c r="L72" s="989"/>
      <c r="M72" s="989"/>
      <c r="N72" s="2231"/>
      <c r="O72" s="961"/>
      <c r="P72" s="1803"/>
      <c r="Q72" s="1803"/>
      <c r="R72" s="1803"/>
      <c r="S72" s="1803"/>
      <c r="T72" s="1803"/>
      <c r="U72" s="1803"/>
      <c r="V72" s="1803"/>
    </row>
    <row r="73" spans="1:22" ht="33.75" hidden="1" customHeight="1">
      <c r="A73" s="3251"/>
      <c r="B73" s="961" t="s">
        <v>3323</v>
      </c>
      <c r="C73" s="1831"/>
      <c r="D73" s="1832" t="s">
        <v>3063</v>
      </c>
      <c r="E73" s="1800"/>
      <c r="F73" s="1817"/>
      <c r="G73" s="1800"/>
      <c r="H73" s="1801"/>
      <c r="I73" s="1005"/>
      <c r="J73" s="1068">
        <v>5.1120000000000001</v>
      </c>
      <c r="K73" s="1068">
        <v>5.1120000000000001</v>
      </c>
      <c r="L73" s="989"/>
      <c r="M73" s="989"/>
      <c r="N73" s="2231"/>
      <c r="O73" s="961" t="s">
        <v>3327</v>
      </c>
      <c r="P73" s="1803"/>
      <c r="Q73" s="1803"/>
      <c r="R73" s="1803"/>
      <c r="S73" s="1803"/>
      <c r="T73" s="1803"/>
      <c r="U73" s="1803"/>
      <c r="V73" s="1803"/>
    </row>
    <row r="74" spans="1:22" ht="20.100000000000001" hidden="1" customHeight="1">
      <c r="A74" s="3199" t="s">
        <v>403</v>
      </c>
      <c r="B74" s="1833" t="s">
        <v>1271</v>
      </c>
      <c r="C74" s="3190">
        <v>188711925</v>
      </c>
      <c r="D74" s="1834" t="s">
        <v>471</v>
      </c>
      <c r="E74" s="1598"/>
      <c r="F74" s="1599" t="e">
        <f t="shared" si="0"/>
        <v>#DIV/0!</v>
      </c>
      <c r="G74" s="1598"/>
      <c r="H74" s="1783"/>
      <c r="I74" s="1005"/>
      <c r="J74" s="1102"/>
      <c r="K74" s="1783"/>
      <c r="L74" s="1535"/>
      <c r="M74" s="1535"/>
      <c r="N74" s="2233"/>
      <c r="O74" s="2921"/>
      <c r="P74" s="3188" t="s">
        <v>1586</v>
      </c>
      <c r="Q74" s="3188"/>
      <c r="R74" s="3188"/>
      <c r="S74" s="3188"/>
      <c r="T74" s="3188"/>
      <c r="U74" s="1835"/>
      <c r="V74" s="1836"/>
    </row>
    <row r="75" spans="1:22" ht="36" hidden="1" customHeight="1">
      <c r="A75" s="3199"/>
      <c r="B75" s="1833"/>
      <c r="C75" s="3190"/>
      <c r="D75" s="1837" t="s">
        <v>1076</v>
      </c>
      <c r="E75" s="1598">
        <f>E74</f>
        <v>0</v>
      </c>
      <c r="F75" s="1599" t="e">
        <f t="shared" si="0"/>
        <v>#DIV/0!</v>
      </c>
      <c r="G75" s="1598">
        <f t="shared" ref="G75:L75" si="28">G74</f>
        <v>0</v>
      </c>
      <c r="H75" s="1783">
        <f t="shared" si="28"/>
        <v>0</v>
      </c>
      <c r="I75" s="1005"/>
      <c r="J75" s="1102"/>
      <c r="K75" s="1783">
        <f t="shared" si="28"/>
        <v>0</v>
      </c>
      <c r="L75" s="1560">
        <f t="shared" si="28"/>
        <v>0</v>
      </c>
      <c r="M75" s="1560"/>
      <c r="N75" s="2234"/>
      <c r="O75" s="3207"/>
      <c r="P75" s="3189"/>
      <c r="Q75" s="3189"/>
      <c r="R75" s="3189"/>
      <c r="S75" s="3189"/>
      <c r="T75" s="3189"/>
      <c r="U75" s="1838"/>
      <c r="V75" s="1836"/>
    </row>
    <row r="76" spans="1:22" ht="36" hidden="1" customHeight="1">
      <c r="A76" s="1795"/>
      <c r="B76" s="1833"/>
      <c r="C76" s="1814"/>
      <c r="D76" s="1837" t="s">
        <v>1532</v>
      </c>
      <c r="E76" s="1598"/>
      <c r="F76" s="1599"/>
      <c r="G76" s="1598"/>
      <c r="H76" s="1783"/>
      <c r="I76" s="1005"/>
      <c r="J76" s="1102"/>
      <c r="K76" s="1783"/>
      <c r="L76" s="989">
        <v>4.2</v>
      </c>
      <c r="M76" s="989">
        <v>4.2</v>
      </c>
      <c r="N76" s="2235"/>
      <c r="O76" s="1839"/>
      <c r="P76" s="1835"/>
      <c r="Q76" s="1835"/>
      <c r="R76" s="1840"/>
      <c r="S76" s="1840"/>
      <c r="T76" s="1840"/>
      <c r="U76" s="1840"/>
      <c r="V76" s="1841"/>
    </row>
    <row r="77" spans="1:22" ht="24" customHeight="1">
      <c r="A77" s="3199" t="s">
        <v>2173</v>
      </c>
      <c r="B77" s="3196" t="s">
        <v>1272</v>
      </c>
      <c r="C77" s="3190">
        <v>188711925</v>
      </c>
      <c r="D77" s="1808" t="s">
        <v>471</v>
      </c>
      <c r="E77" s="1527"/>
      <c r="F77" s="1534"/>
      <c r="G77" s="1527">
        <v>1</v>
      </c>
      <c r="H77" s="1535"/>
      <c r="I77" s="1053"/>
      <c r="J77" s="948"/>
      <c r="K77" s="1535"/>
      <c r="L77" s="1535"/>
      <c r="M77" s="1535"/>
      <c r="N77" s="3235" t="s">
        <v>2503</v>
      </c>
      <c r="O77" s="2921" t="s">
        <v>1738</v>
      </c>
      <c r="P77" s="2912" t="s">
        <v>1587</v>
      </c>
      <c r="Q77" s="2912" t="s">
        <v>1737</v>
      </c>
      <c r="R77" s="2910" t="s">
        <v>1409</v>
      </c>
      <c r="S77" s="2910" t="s">
        <v>1409</v>
      </c>
      <c r="T77" s="2910" t="s">
        <v>1409</v>
      </c>
      <c r="U77" s="2910" t="s">
        <v>1409</v>
      </c>
      <c r="V77" s="2910" t="s">
        <v>2504</v>
      </c>
    </row>
    <row r="78" spans="1:22" ht="29.25" customHeight="1">
      <c r="A78" s="3199"/>
      <c r="B78" s="3192"/>
      <c r="C78" s="3185"/>
      <c r="D78" s="1796" t="s">
        <v>1532</v>
      </c>
      <c r="E78" s="1579">
        <v>2</v>
      </c>
      <c r="F78" s="1580">
        <f t="shared" si="0"/>
        <v>0</v>
      </c>
      <c r="G78" s="1579">
        <v>2</v>
      </c>
      <c r="H78" s="1607">
        <v>2</v>
      </c>
      <c r="I78" s="1053"/>
      <c r="J78" s="948">
        <f>SUM(J81,J83,J84)</f>
        <v>1.5</v>
      </c>
      <c r="K78" s="1053">
        <f>SUM(K81,K83,K84)</f>
        <v>1.5</v>
      </c>
      <c r="L78" s="1053">
        <v>3.4620000000000002</v>
      </c>
      <c r="M78" s="1053">
        <v>3.4620000000000002</v>
      </c>
      <c r="N78" s="3236"/>
      <c r="O78" s="2922"/>
      <c r="P78" s="2912"/>
      <c r="Q78" s="2912"/>
      <c r="R78" s="2911"/>
      <c r="S78" s="2911"/>
      <c r="T78" s="2911"/>
      <c r="U78" s="2911"/>
      <c r="V78" s="2911"/>
    </row>
    <row r="79" spans="1:22" ht="29.25" customHeight="1">
      <c r="A79" s="3199"/>
      <c r="B79" s="3192"/>
      <c r="C79" s="3185"/>
      <c r="D79" s="1796" t="s">
        <v>3063</v>
      </c>
      <c r="E79" s="1579"/>
      <c r="F79" s="1580"/>
      <c r="G79" s="1579"/>
      <c r="H79" s="1607"/>
      <c r="I79" s="1053"/>
      <c r="J79" s="948">
        <f>SUM(J82)</f>
        <v>3</v>
      </c>
      <c r="K79" s="1053">
        <f>SUM(K82,K85)</f>
        <v>10</v>
      </c>
      <c r="L79" s="1053">
        <f t="shared" ref="L79:M79" si="29">SUM(L82,L85)</f>
        <v>0</v>
      </c>
      <c r="M79" s="1053">
        <f t="shared" si="29"/>
        <v>0</v>
      </c>
      <c r="N79" s="3236"/>
      <c r="O79" s="2922"/>
      <c r="P79" s="2912"/>
      <c r="Q79" s="2912"/>
      <c r="R79" s="2911"/>
      <c r="S79" s="2911"/>
      <c r="T79" s="2911"/>
      <c r="U79" s="2911"/>
      <c r="V79" s="2911"/>
    </row>
    <row r="80" spans="1:22" ht="29.25" customHeight="1">
      <c r="A80" s="3199"/>
      <c r="B80" s="3192"/>
      <c r="C80" s="3185"/>
      <c r="D80" s="1797" t="s">
        <v>1076</v>
      </c>
      <c r="E80" s="1573">
        <f>SUM(E77:E78,)</f>
        <v>2</v>
      </c>
      <c r="F80" s="1574">
        <f t="shared" si="0"/>
        <v>0</v>
      </c>
      <c r="G80" s="1573">
        <f t="shared" ref="G80:H80" si="30">SUM(G77:G78,)</f>
        <v>3</v>
      </c>
      <c r="H80" s="1608">
        <f t="shared" si="30"/>
        <v>2</v>
      </c>
      <c r="I80" s="1059"/>
      <c r="J80" s="1704">
        <f>SUM(J77:J78,J79)</f>
        <v>4.5</v>
      </c>
      <c r="K80" s="1736">
        <f t="shared" ref="K80:M80" si="31">SUM(K77:K78,K79)</f>
        <v>11.5</v>
      </c>
      <c r="L80" s="1736">
        <f t="shared" si="31"/>
        <v>3.4620000000000002</v>
      </c>
      <c r="M80" s="1736">
        <f t="shared" si="31"/>
        <v>3.4620000000000002</v>
      </c>
      <c r="N80" s="3237"/>
      <c r="O80" s="3207"/>
      <c r="P80" s="2916"/>
      <c r="Q80" s="2916"/>
      <c r="R80" s="2912"/>
      <c r="S80" s="2912"/>
      <c r="T80" s="2912"/>
      <c r="U80" s="2912"/>
      <c r="V80" s="2912"/>
    </row>
    <row r="81" spans="1:22" ht="29.25" hidden="1" customHeight="1">
      <c r="A81" s="1805"/>
      <c r="B81" s="2495" t="s">
        <v>3328</v>
      </c>
      <c r="C81" s="3193"/>
      <c r="D81" s="1832" t="s">
        <v>1532</v>
      </c>
      <c r="E81" s="1800"/>
      <c r="F81" s="1817"/>
      <c r="G81" s="1800"/>
      <c r="H81" s="1801"/>
      <c r="I81" s="989"/>
      <c r="J81" s="1068">
        <v>1.3</v>
      </c>
      <c r="K81" s="989">
        <v>1.3</v>
      </c>
      <c r="L81" s="989">
        <v>1.8</v>
      </c>
      <c r="M81" s="989">
        <v>1.8</v>
      </c>
      <c r="N81" s="2229"/>
      <c r="O81" s="961" t="s">
        <v>3330</v>
      </c>
      <c r="P81" s="1803"/>
      <c r="Q81" s="1803"/>
      <c r="R81" s="1804"/>
      <c r="S81" s="1804"/>
      <c r="T81" s="1804"/>
      <c r="U81" s="1804"/>
      <c r="V81" s="1804"/>
    </row>
    <row r="82" spans="1:22" ht="29.25" hidden="1" customHeight="1">
      <c r="A82" s="1805"/>
      <c r="B82" s="2497"/>
      <c r="C82" s="3194"/>
      <c r="D82" s="1832" t="s">
        <v>3063</v>
      </c>
      <c r="E82" s="1800"/>
      <c r="F82" s="1817"/>
      <c r="G82" s="1800"/>
      <c r="H82" s="1801"/>
      <c r="I82" s="989"/>
      <c r="J82" s="1068">
        <v>3</v>
      </c>
      <c r="K82" s="989">
        <v>3</v>
      </c>
      <c r="L82" s="989"/>
      <c r="M82" s="989"/>
      <c r="N82" s="2229"/>
      <c r="O82" s="1842"/>
      <c r="P82" s="1803"/>
      <c r="Q82" s="1803"/>
      <c r="R82" s="1804"/>
      <c r="S82" s="1804"/>
      <c r="T82" s="1804"/>
      <c r="U82" s="1804"/>
      <c r="V82" s="1804"/>
    </row>
    <row r="83" spans="1:22" ht="57" hidden="1" customHeight="1">
      <c r="A83" s="1805"/>
      <c r="B83" s="961" t="s">
        <v>3917</v>
      </c>
      <c r="C83" s="3194"/>
      <c r="D83" s="1832" t="s">
        <v>1532</v>
      </c>
      <c r="E83" s="1800"/>
      <c r="F83" s="1817"/>
      <c r="G83" s="1800"/>
      <c r="H83" s="1801"/>
      <c r="I83" s="989"/>
      <c r="J83" s="1068">
        <v>0.2</v>
      </c>
      <c r="K83" s="989">
        <v>0.2</v>
      </c>
      <c r="L83" s="989">
        <v>0.2</v>
      </c>
      <c r="M83" s="989">
        <v>0.2</v>
      </c>
      <c r="N83" s="2229"/>
      <c r="O83" s="957" t="s">
        <v>3331</v>
      </c>
      <c r="P83" s="1803"/>
      <c r="Q83" s="1803"/>
      <c r="R83" s="1804"/>
      <c r="S83" s="1804"/>
      <c r="T83" s="1804"/>
      <c r="U83" s="1804"/>
      <c r="V83" s="1804"/>
    </row>
    <row r="84" spans="1:22" ht="29.25" hidden="1" customHeight="1">
      <c r="A84" s="1805"/>
      <c r="B84" s="2495" t="s">
        <v>3329</v>
      </c>
      <c r="C84" s="3194"/>
      <c r="D84" s="1832" t="s">
        <v>1532</v>
      </c>
      <c r="E84" s="1800"/>
      <c r="F84" s="1817"/>
      <c r="G84" s="1800"/>
      <c r="H84" s="1801"/>
      <c r="I84" s="989"/>
      <c r="J84" s="1068">
        <v>0</v>
      </c>
      <c r="K84" s="989"/>
      <c r="L84" s="989">
        <v>7</v>
      </c>
      <c r="M84" s="989">
        <v>7</v>
      </c>
      <c r="N84" s="2229"/>
      <c r="O84" s="1843"/>
      <c r="P84" s="1803"/>
      <c r="Q84" s="1803"/>
      <c r="R84" s="1804"/>
      <c r="S84" s="1804"/>
      <c r="T84" s="1804"/>
      <c r="U84" s="1804"/>
      <c r="V84" s="1804"/>
    </row>
    <row r="85" spans="1:22" ht="29.25" hidden="1" customHeight="1">
      <c r="A85" s="1805"/>
      <c r="B85" s="2497"/>
      <c r="C85" s="3195"/>
      <c r="D85" s="1832" t="s">
        <v>3063</v>
      </c>
      <c r="E85" s="1800"/>
      <c r="F85" s="1817"/>
      <c r="G85" s="1800"/>
      <c r="H85" s="1801"/>
      <c r="I85" s="989"/>
      <c r="J85" s="1068"/>
      <c r="K85" s="989">
        <v>7</v>
      </c>
      <c r="L85" s="989"/>
      <c r="M85" s="989"/>
      <c r="N85" s="2229"/>
      <c r="O85" s="1843"/>
      <c r="P85" s="1803"/>
      <c r="Q85" s="1803"/>
      <c r="R85" s="1804"/>
      <c r="S85" s="1804"/>
      <c r="T85" s="1804"/>
      <c r="U85" s="1804"/>
      <c r="V85" s="1804"/>
    </row>
    <row r="86" spans="1:22" ht="26.45" customHeight="1">
      <c r="A86" s="3199" t="s">
        <v>2174</v>
      </c>
      <c r="B86" s="3196" t="s">
        <v>1273</v>
      </c>
      <c r="C86" s="3190">
        <v>188711925</v>
      </c>
      <c r="D86" s="1808" t="s">
        <v>471</v>
      </c>
      <c r="E86" s="1527"/>
      <c r="F86" s="1534"/>
      <c r="G86" s="1527"/>
      <c r="H86" s="1607"/>
      <c r="I86" s="1053"/>
      <c r="J86" s="948"/>
      <c r="K86" s="1535"/>
      <c r="L86" s="1535"/>
      <c r="M86" s="1535"/>
      <c r="N86" s="3235" t="s">
        <v>2506</v>
      </c>
      <c r="O86" s="3186" t="s">
        <v>3919</v>
      </c>
      <c r="P86" s="2912" t="s">
        <v>1588</v>
      </c>
      <c r="Q86" s="2912" t="s">
        <v>1591</v>
      </c>
      <c r="R86" s="2910" t="s">
        <v>324</v>
      </c>
      <c r="S86" s="2910" t="s">
        <v>324</v>
      </c>
      <c r="T86" s="2910" t="s">
        <v>324</v>
      </c>
      <c r="U86" s="2910" t="s">
        <v>324</v>
      </c>
      <c r="V86" s="2910" t="s">
        <v>2501</v>
      </c>
    </row>
    <row r="87" spans="1:22" ht="29.25" customHeight="1">
      <c r="A87" s="3199"/>
      <c r="B87" s="3192"/>
      <c r="C87" s="3185"/>
      <c r="D87" s="1796" t="s">
        <v>1532</v>
      </c>
      <c r="E87" s="1579">
        <v>4.798</v>
      </c>
      <c r="F87" s="1580">
        <f t="shared" si="0"/>
        <v>-0.4789495623176323</v>
      </c>
      <c r="G87" s="1579">
        <v>4.5</v>
      </c>
      <c r="H87" s="1535">
        <f>5.87-3.37</f>
        <v>2.5</v>
      </c>
      <c r="I87" s="1053"/>
      <c r="J87" s="948">
        <v>2.5</v>
      </c>
      <c r="K87" s="1535">
        <v>2.5</v>
      </c>
      <c r="L87" s="1535">
        <v>2</v>
      </c>
      <c r="M87" s="1535">
        <v>2</v>
      </c>
      <c r="N87" s="3236"/>
      <c r="O87" s="3187"/>
      <c r="P87" s="2912"/>
      <c r="Q87" s="2912"/>
      <c r="R87" s="2911"/>
      <c r="S87" s="2911"/>
      <c r="T87" s="2911"/>
      <c r="U87" s="2911"/>
      <c r="V87" s="2911"/>
    </row>
    <row r="88" spans="1:22" ht="30" customHeight="1">
      <c r="A88" s="3199"/>
      <c r="B88" s="3192"/>
      <c r="C88" s="3185"/>
      <c r="D88" s="1796" t="s">
        <v>3063</v>
      </c>
      <c r="E88" s="1579"/>
      <c r="F88" s="1580"/>
      <c r="G88" s="1579"/>
      <c r="H88" s="1844">
        <v>3.37</v>
      </c>
      <c r="I88" s="1053"/>
      <c r="J88" s="948">
        <v>3.548</v>
      </c>
      <c r="K88" s="1535">
        <v>3.548</v>
      </c>
      <c r="L88" s="1535"/>
      <c r="M88" s="1535"/>
      <c r="N88" s="3236"/>
      <c r="O88" s="3187"/>
      <c r="P88" s="2912"/>
      <c r="Q88" s="2912"/>
      <c r="R88" s="2911"/>
      <c r="S88" s="2911"/>
      <c r="T88" s="2911"/>
      <c r="U88" s="2911"/>
      <c r="V88" s="2911"/>
    </row>
    <row r="89" spans="1:22" ht="51.75" customHeight="1">
      <c r="A89" s="3199"/>
      <c r="B89" s="3192"/>
      <c r="C89" s="3185"/>
      <c r="D89" s="1797" t="s">
        <v>1076</v>
      </c>
      <c r="E89" s="1573">
        <f>SUM(E86:E87)</f>
        <v>4.798</v>
      </c>
      <c r="F89" s="1574">
        <f t="shared" si="0"/>
        <v>0.2234264276781992</v>
      </c>
      <c r="G89" s="1573">
        <f t="shared" ref="G89" si="32">SUM(G86:G87)</f>
        <v>4.5</v>
      </c>
      <c r="H89" s="1608">
        <f>SUM(H86:H88)</f>
        <v>5.87</v>
      </c>
      <c r="I89" s="1059"/>
      <c r="J89" s="1704">
        <f>SUM(J86:J88)</f>
        <v>6.048</v>
      </c>
      <c r="K89" s="1059">
        <f t="shared" ref="K89:M89" si="33">SUM(K86:K88)</f>
        <v>6.048</v>
      </c>
      <c r="L89" s="1059">
        <f t="shared" si="33"/>
        <v>2</v>
      </c>
      <c r="M89" s="1059">
        <f t="shared" si="33"/>
        <v>2</v>
      </c>
      <c r="N89" s="3237"/>
      <c r="O89" s="3187"/>
      <c r="P89" s="2916"/>
      <c r="Q89" s="2916"/>
      <c r="R89" s="2912"/>
      <c r="S89" s="2912"/>
      <c r="T89" s="2912"/>
      <c r="U89" s="2912"/>
      <c r="V89" s="2912"/>
    </row>
    <row r="90" spans="1:22" ht="31.5" hidden="1" customHeight="1">
      <c r="A90" s="3199" t="s">
        <v>2175</v>
      </c>
      <c r="B90" s="3196" t="s">
        <v>1274</v>
      </c>
      <c r="C90" s="3190">
        <v>188711925</v>
      </c>
      <c r="D90" s="1808" t="s">
        <v>2928</v>
      </c>
      <c r="E90" s="1527">
        <v>219.44300000000001</v>
      </c>
      <c r="F90" s="1534">
        <f t="shared" si="0"/>
        <v>-0.48465888636228993</v>
      </c>
      <c r="G90" s="1527">
        <v>219.44399999999999</v>
      </c>
      <c r="H90" s="1535">
        <f>H93+H95</f>
        <v>113.08800000000001</v>
      </c>
      <c r="I90" s="1053"/>
      <c r="J90" s="948"/>
      <c r="K90" s="1535"/>
      <c r="L90" s="1535"/>
      <c r="M90" s="1535"/>
      <c r="N90" s="3235" t="s">
        <v>2275</v>
      </c>
      <c r="O90" s="3186" t="s">
        <v>3332</v>
      </c>
      <c r="P90" s="2912" t="s">
        <v>1589</v>
      </c>
      <c r="Q90" s="2912" t="s">
        <v>1592</v>
      </c>
      <c r="R90" s="2910" t="s">
        <v>433</v>
      </c>
      <c r="S90" s="2910" t="s">
        <v>434</v>
      </c>
      <c r="T90" s="2910" t="s">
        <v>434</v>
      </c>
      <c r="U90" s="2910" t="s">
        <v>434</v>
      </c>
      <c r="V90" s="2910" t="s">
        <v>2507</v>
      </c>
    </row>
    <row r="91" spans="1:22" ht="33" hidden="1" customHeight="1">
      <c r="A91" s="3199"/>
      <c r="B91" s="3192"/>
      <c r="C91" s="3185"/>
      <c r="D91" s="1796" t="s">
        <v>413</v>
      </c>
      <c r="E91" s="1579">
        <v>164.13300000000001</v>
      </c>
      <c r="F91" s="1580">
        <f t="shared" si="0"/>
        <v>-0.13869849451359573</v>
      </c>
      <c r="G91" s="1579"/>
      <c r="H91" s="1607">
        <f>SUM(H94,H96)</f>
        <v>141.36799999999999</v>
      </c>
      <c r="I91" s="1053"/>
      <c r="J91" s="948"/>
      <c r="K91" s="1535"/>
      <c r="L91" s="1535"/>
      <c r="M91" s="1535"/>
      <c r="N91" s="3236"/>
      <c r="O91" s="3187"/>
      <c r="P91" s="2912"/>
      <c r="Q91" s="2912"/>
      <c r="R91" s="2911"/>
      <c r="S91" s="2911"/>
      <c r="T91" s="2911"/>
      <c r="U91" s="2911"/>
      <c r="V91" s="2911"/>
    </row>
    <row r="92" spans="1:22" ht="30" hidden="1" customHeight="1">
      <c r="A92" s="3200"/>
      <c r="B92" s="3192"/>
      <c r="C92" s="3185"/>
      <c r="D92" s="1797" t="s">
        <v>1076</v>
      </c>
      <c r="E92" s="1573">
        <f>SUM(E90:E91,)</f>
        <v>383.57600000000002</v>
      </c>
      <c r="F92" s="1574">
        <f t="shared" si="0"/>
        <v>-0.33662168644545021</v>
      </c>
      <c r="G92" s="1573">
        <f t="shared" ref="G92" si="34">G90</f>
        <v>219.44399999999999</v>
      </c>
      <c r="H92" s="1608">
        <f>H90+H91</f>
        <v>254.45600000000002</v>
      </c>
      <c r="I92" s="1059"/>
      <c r="J92" s="1704"/>
      <c r="K92" s="1560"/>
      <c r="L92" s="1560"/>
      <c r="M92" s="1560"/>
      <c r="N92" s="3236"/>
      <c r="O92" s="3202"/>
      <c r="P92" s="2910"/>
      <c r="Q92" s="2910"/>
      <c r="R92" s="2911"/>
      <c r="S92" s="2911"/>
      <c r="T92" s="2911"/>
      <c r="U92" s="2912"/>
      <c r="V92" s="2911"/>
    </row>
    <row r="93" spans="1:22" ht="27" hidden="1" customHeight="1">
      <c r="A93" s="3205"/>
      <c r="B93" s="2954" t="s">
        <v>506</v>
      </c>
      <c r="C93" s="1845"/>
      <c r="D93" s="1643" t="s">
        <v>471</v>
      </c>
      <c r="E93" s="1846"/>
      <c r="F93" s="1847"/>
      <c r="G93" s="1644"/>
      <c r="H93" s="1647">
        <v>19.456</v>
      </c>
      <c r="I93" s="1647"/>
      <c r="J93" s="1846"/>
      <c r="K93" s="1645"/>
      <c r="L93" s="1848"/>
      <c r="M93" s="1645"/>
      <c r="N93" s="2041"/>
      <c r="O93" s="1644" t="s">
        <v>3388</v>
      </c>
      <c r="P93" s="1641"/>
      <c r="Q93" s="1641"/>
      <c r="R93" s="1849"/>
      <c r="S93" s="1849"/>
      <c r="T93" s="1849"/>
      <c r="U93" s="1849"/>
      <c r="V93" s="1849"/>
    </row>
    <row r="94" spans="1:22" ht="30" hidden="1" customHeight="1">
      <c r="A94" s="3206"/>
      <c r="B94" s="2956"/>
      <c r="C94" s="1845"/>
      <c r="D94" s="1643" t="s">
        <v>413</v>
      </c>
      <c r="E94" s="1846"/>
      <c r="F94" s="1847"/>
      <c r="G94" s="1644"/>
      <c r="H94" s="1647">
        <v>95.251000000000005</v>
      </c>
      <c r="I94" s="1647"/>
      <c r="J94" s="1846"/>
      <c r="K94" s="1645"/>
      <c r="L94" s="1848"/>
      <c r="M94" s="1645"/>
      <c r="N94" s="2041"/>
      <c r="O94" s="1647"/>
      <c r="P94" s="1641"/>
      <c r="Q94" s="1641"/>
      <c r="R94" s="1849"/>
      <c r="S94" s="1849"/>
      <c r="T94" s="1849"/>
      <c r="U94" s="1849"/>
      <c r="V94" s="1849"/>
    </row>
    <row r="95" spans="1:22" ht="27" hidden="1" customHeight="1">
      <c r="A95" s="3205"/>
      <c r="B95" s="2954" t="s">
        <v>2747</v>
      </c>
      <c r="C95" s="1845"/>
      <c r="D95" s="1643" t="s">
        <v>471</v>
      </c>
      <c r="E95" s="1846"/>
      <c r="F95" s="1847"/>
      <c r="G95" s="1644"/>
      <c r="H95" s="1647">
        <f>25.907+21.608+46.117</f>
        <v>93.632000000000005</v>
      </c>
      <c r="I95" s="1647"/>
      <c r="J95" s="1846"/>
      <c r="K95" s="1645"/>
      <c r="L95" s="1848"/>
      <c r="M95" s="1645"/>
      <c r="N95" s="2041"/>
      <c r="O95" s="1850"/>
      <c r="P95" s="1641"/>
      <c r="Q95" s="1641"/>
      <c r="R95" s="1849"/>
      <c r="S95" s="1849"/>
      <c r="T95" s="1849"/>
      <c r="U95" s="1849"/>
      <c r="V95" s="1849"/>
    </row>
    <row r="96" spans="1:22" ht="30" hidden="1" customHeight="1">
      <c r="A96" s="3206"/>
      <c r="B96" s="2956"/>
      <c r="C96" s="1845"/>
      <c r="D96" s="1643" t="s">
        <v>413</v>
      </c>
      <c r="E96" s="1846"/>
      <c r="F96" s="1847"/>
      <c r="G96" s="1644"/>
      <c r="H96" s="1647">
        <v>46.116999999999997</v>
      </c>
      <c r="I96" s="1647"/>
      <c r="J96" s="1846"/>
      <c r="K96" s="1645"/>
      <c r="L96" s="1848"/>
      <c r="M96" s="1645"/>
      <c r="N96" s="2041"/>
      <c r="O96" s="1647"/>
      <c r="P96" s="1641"/>
      <c r="Q96" s="1641"/>
      <c r="R96" s="1849"/>
      <c r="S96" s="1849"/>
      <c r="T96" s="1849"/>
      <c r="U96" s="1849"/>
      <c r="V96" s="1849"/>
    </row>
    <row r="97" spans="1:23" ht="34.15" customHeight="1">
      <c r="A97" s="3211" t="s">
        <v>2176</v>
      </c>
      <c r="B97" s="3213" t="s">
        <v>1275</v>
      </c>
      <c r="C97" s="3216">
        <v>188711925</v>
      </c>
      <c r="D97" s="1785" t="s">
        <v>471</v>
      </c>
      <c r="E97" s="1527"/>
      <c r="F97" s="1534"/>
      <c r="G97" s="1527">
        <v>5</v>
      </c>
      <c r="H97" s="1535">
        <v>5</v>
      </c>
      <c r="I97" s="1053"/>
      <c r="J97" s="948">
        <v>5</v>
      </c>
      <c r="K97" s="1053">
        <f>K103</f>
        <v>5</v>
      </c>
      <c r="L97" s="1053">
        <f t="shared" ref="L97:M97" si="35">L103</f>
        <v>5</v>
      </c>
      <c r="M97" s="1053">
        <f t="shared" si="35"/>
        <v>5</v>
      </c>
      <c r="N97" s="3238" t="s">
        <v>1039</v>
      </c>
      <c r="O97" s="3186" t="s">
        <v>1739</v>
      </c>
      <c r="P97" s="2916" t="s">
        <v>1590</v>
      </c>
      <c r="Q97" s="2916" t="s">
        <v>1737</v>
      </c>
      <c r="R97" s="2916" t="s">
        <v>433</v>
      </c>
      <c r="S97" s="2916" t="s">
        <v>433</v>
      </c>
      <c r="T97" s="2916" t="s">
        <v>433</v>
      </c>
      <c r="U97" s="2910" t="s">
        <v>433</v>
      </c>
      <c r="V97" s="2916" t="s">
        <v>1040</v>
      </c>
    </row>
    <row r="98" spans="1:23" ht="32.25" customHeight="1">
      <c r="A98" s="3211"/>
      <c r="B98" s="3213"/>
      <c r="C98" s="3216"/>
      <c r="D98" s="1785" t="s">
        <v>1532</v>
      </c>
      <c r="E98" s="1527">
        <v>5</v>
      </c>
      <c r="F98" s="1534">
        <f t="shared" si="0"/>
        <v>-0.24</v>
      </c>
      <c r="G98" s="1527">
        <v>3.8</v>
      </c>
      <c r="H98" s="1535">
        <v>3.8</v>
      </c>
      <c r="I98" s="1053"/>
      <c r="J98" s="948"/>
      <c r="K98" s="1535">
        <v>0</v>
      </c>
      <c r="L98" s="1535">
        <f t="shared" ref="L98:M98" si="36">L102</f>
        <v>4</v>
      </c>
      <c r="M98" s="1535">
        <f t="shared" si="36"/>
        <v>4</v>
      </c>
      <c r="N98" s="3238"/>
      <c r="O98" s="3187"/>
      <c r="P98" s="2916"/>
      <c r="Q98" s="2916"/>
      <c r="R98" s="2916"/>
      <c r="S98" s="2916"/>
      <c r="T98" s="2916"/>
      <c r="U98" s="2911"/>
      <c r="V98" s="2916"/>
    </row>
    <row r="99" spans="1:23" ht="32.25" customHeight="1">
      <c r="A99" s="3211"/>
      <c r="B99" s="3213"/>
      <c r="C99" s="3216"/>
      <c r="D99" s="1785" t="s">
        <v>3063</v>
      </c>
      <c r="E99" s="1527"/>
      <c r="F99" s="1534"/>
      <c r="G99" s="1527"/>
      <c r="H99" s="1535"/>
      <c r="I99" s="1053"/>
      <c r="J99" s="948">
        <v>7.76</v>
      </c>
      <c r="K99" s="1535">
        <f>K102</f>
        <v>7.76</v>
      </c>
      <c r="L99" s="1535"/>
      <c r="M99" s="1535"/>
      <c r="N99" s="3238"/>
      <c r="O99" s="3187"/>
      <c r="P99" s="2916"/>
      <c r="Q99" s="2916"/>
      <c r="R99" s="2916"/>
      <c r="S99" s="2916"/>
      <c r="T99" s="2916"/>
      <c r="U99" s="2911"/>
      <c r="V99" s="2916"/>
    </row>
    <row r="100" spans="1:23" ht="32.25" customHeight="1">
      <c r="A100" s="3211"/>
      <c r="B100" s="3213"/>
      <c r="C100" s="3216"/>
      <c r="D100" s="1785" t="s">
        <v>2928</v>
      </c>
      <c r="E100" s="1527"/>
      <c r="F100" s="1534"/>
      <c r="G100" s="1527"/>
      <c r="H100" s="1535"/>
      <c r="I100" s="1053"/>
      <c r="J100" s="948">
        <v>4</v>
      </c>
      <c r="K100" s="1053">
        <v>0</v>
      </c>
      <c r="L100" s="1053"/>
      <c r="M100" s="1053"/>
      <c r="N100" s="3238"/>
      <c r="O100" s="3187"/>
      <c r="P100" s="2916"/>
      <c r="Q100" s="2916"/>
      <c r="R100" s="2916"/>
      <c r="S100" s="2916"/>
      <c r="T100" s="2916"/>
      <c r="U100" s="2911"/>
      <c r="V100" s="2916"/>
    </row>
    <row r="101" spans="1:23" ht="33.75" customHeight="1">
      <c r="A101" s="3211"/>
      <c r="B101" s="3213"/>
      <c r="C101" s="3216"/>
      <c r="D101" s="1778" t="s">
        <v>1076</v>
      </c>
      <c r="E101" s="1513">
        <f>SUM(E97:E98,)</f>
        <v>5</v>
      </c>
      <c r="F101" s="1514">
        <f t="shared" si="0"/>
        <v>0.76000000000000023</v>
      </c>
      <c r="G101" s="1513">
        <f t="shared" ref="G101:H101" si="37">SUM(G97:G98,)</f>
        <v>8.8000000000000007</v>
      </c>
      <c r="H101" s="1560">
        <f t="shared" si="37"/>
        <v>8.8000000000000007</v>
      </c>
      <c r="I101" s="1059"/>
      <c r="J101" s="1704">
        <f>SUM(J97:J100,)</f>
        <v>16.759999999999998</v>
      </c>
      <c r="K101" s="1059">
        <f>SUM(K97:K100,)</f>
        <v>12.76</v>
      </c>
      <c r="L101" s="1059">
        <f t="shared" ref="L101:M101" si="38">SUM(L97:L100,)</f>
        <v>9</v>
      </c>
      <c r="M101" s="1059">
        <f t="shared" si="38"/>
        <v>9</v>
      </c>
      <c r="N101" s="3238"/>
      <c r="O101" s="3187"/>
      <c r="P101" s="2916"/>
      <c r="Q101" s="2916"/>
      <c r="R101" s="2916"/>
      <c r="S101" s="2916"/>
      <c r="T101" s="2916"/>
      <c r="U101" s="2912"/>
      <c r="V101" s="2916"/>
    </row>
    <row r="102" spans="1:23" ht="39" hidden="1" customHeight="1">
      <c r="A102" s="1780"/>
      <c r="B102" s="957" t="s">
        <v>3333</v>
      </c>
      <c r="C102" s="1815"/>
      <c r="D102" s="1816" t="s">
        <v>3063</v>
      </c>
      <c r="E102" s="1598"/>
      <c r="F102" s="1599"/>
      <c r="G102" s="1598"/>
      <c r="H102" s="1783"/>
      <c r="I102" s="1005"/>
      <c r="J102" s="1068">
        <v>4</v>
      </c>
      <c r="K102" s="989">
        <v>7.76</v>
      </c>
      <c r="L102" s="989">
        <v>4</v>
      </c>
      <c r="M102" s="989">
        <v>4</v>
      </c>
      <c r="N102" s="2228"/>
      <c r="O102" s="961" t="s">
        <v>3335</v>
      </c>
      <c r="P102" s="1784"/>
      <c r="Q102" s="1784"/>
      <c r="R102" s="1784"/>
      <c r="S102" s="1784"/>
      <c r="T102" s="1784"/>
      <c r="U102" s="1784"/>
      <c r="V102" s="1784"/>
    </row>
    <row r="103" spans="1:23" ht="40.5" hidden="1" customHeight="1">
      <c r="A103" s="1780"/>
      <c r="B103" s="957" t="s">
        <v>3334</v>
      </c>
      <c r="C103" s="1815"/>
      <c r="D103" s="1816" t="s">
        <v>471</v>
      </c>
      <c r="E103" s="1598"/>
      <c r="F103" s="1599"/>
      <c r="G103" s="1598"/>
      <c r="H103" s="1783"/>
      <c r="I103" s="1005"/>
      <c r="J103" s="1068">
        <v>5</v>
      </c>
      <c r="K103" s="989">
        <v>5</v>
      </c>
      <c r="L103" s="989">
        <v>5</v>
      </c>
      <c r="M103" s="989">
        <v>5</v>
      </c>
      <c r="N103" s="2228"/>
      <c r="O103" s="957" t="s">
        <v>3336</v>
      </c>
      <c r="P103" s="1784"/>
      <c r="Q103" s="1784"/>
      <c r="R103" s="1784"/>
      <c r="S103" s="1784"/>
      <c r="T103" s="1784"/>
      <c r="U103" s="1784"/>
      <c r="V103" s="1784"/>
    </row>
    <row r="104" spans="1:23" ht="29.25" customHeight="1">
      <c r="A104" s="3210" t="s">
        <v>2177</v>
      </c>
      <c r="B104" s="3191" t="s">
        <v>2957</v>
      </c>
      <c r="C104" s="3184">
        <v>188711925</v>
      </c>
      <c r="D104" s="1792" t="s">
        <v>471</v>
      </c>
      <c r="E104" s="1510"/>
      <c r="F104" s="1526"/>
      <c r="G104" s="1510"/>
      <c r="H104" s="1793"/>
      <c r="I104" s="1100"/>
      <c r="J104" s="1605">
        <v>10.602</v>
      </c>
      <c r="K104" s="1053"/>
      <c r="L104" s="1535"/>
      <c r="M104" s="1785"/>
      <c r="N104" s="3236" t="s">
        <v>2509</v>
      </c>
      <c r="O104" s="3186" t="s">
        <v>1734</v>
      </c>
      <c r="P104" s="2912" t="s">
        <v>1593</v>
      </c>
      <c r="Q104" s="2912" t="s">
        <v>1485</v>
      </c>
      <c r="R104" s="2911" t="s">
        <v>434</v>
      </c>
      <c r="S104" s="2911" t="s">
        <v>434</v>
      </c>
      <c r="T104" s="2911" t="s">
        <v>324</v>
      </c>
      <c r="U104" s="2910" t="s">
        <v>434</v>
      </c>
      <c r="V104" s="2911" t="s">
        <v>2508</v>
      </c>
    </row>
    <row r="105" spans="1:23" ht="29.25" customHeight="1">
      <c r="A105" s="3210"/>
      <c r="B105" s="3203"/>
      <c r="C105" s="3204"/>
      <c r="D105" s="1785" t="s">
        <v>2928</v>
      </c>
      <c r="E105" s="1628"/>
      <c r="F105" s="1851"/>
      <c r="G105" s="1628"/>
      <c r="H105" s="1793"/>
      <c r="I105" s="1100"/>
      <c r="J105" s="1605"/>
      <c r="K105" s="1100">
        <v>10.602</v>
      </c>
      <c r="L105" s="1852"/>
      <c r="M105" s="1793"/>
      <c r="N105" s="3236"/>
      <c r="O105" s="3186"/>
      <c r="P105" s="2912"/>
      <c r="Q105" s="2912"/>
      <c r="R105" s="2911"/>
      <c r="S105" s="2911"/>
      <c r="T105" s="2911"/>
      <c r="U105" s="2911"/>
      <c r="V105" s="2911"/>
    </row>
    <row r="106" spans="1:23" ht="31.5" customHeight="1">
      <c r="A106" s="3199"/>
      <c r="B106" s="3192"/>
      <c r="C106" s="3185"/>
      <c r="D106" s="1796" t="s">
        <v>246</v>
      </c>
      <c r="E106" s="1579"/>
      <c r="F106" s="1580"/>
      <c r="G106" s="1579"/>
      <c r="H106" s="1535"/>
      <c r="I106" s="1053"/>
      <c r="J106" s="948">
        <v>60.076999999999998</v>
      </c>
      <c r="K106" s="1053">
        <v>60.076999999999998</v>
      </c>
      <c r="L106" s="1853">
        <v>0</v>
      </c>
      <c r="M106" s="1535"/>
      <c r="N106" s="3236"/>
      <c r="O106" s="3186"/>
      <c r="P106" s="2912"/>
      <c r="Q106" s="2912"/>
      <c r="R106" s="2911"/>
      <c r="S106" s="2911"/>
      <c r="T106" s="2911"/>
      <c r="U106" s="2911"/>
      <c r="V106" s="2911"/>
    </row>
    <row r="107" spans="1:23" ht="33" customHeight="1">
      <c r="A107" s="3199"/>
      <c r="B107" s="3192"/>
      <c r="C107" s="3185"/>
      <c r="D107" s="1797" t="s">
        <v>1076</v>
      </c>
      <c r="E107" s="1573">
        <f>SUM(E104:E106,)</f>
        <v>0</v>
      </c>
      <c r="F107" s="1574"/>
      <c r="G107" s="1573">
        <f>SUM(G104:G106,)</f>
        <v>0</v>
      </c>
      <c r="H107" s="1560">
        <f>SUM(H104:H106,)</f>
        <v>0</v>
      </c>
      <c r="I107" s="1059"/>
      <c r="J107" s="1704">
        <f>SUM(J104:J106,)</f>
        <v>70.679000000000002</v>
      </c>
      <c r="K107" s="1059">
        <f>SUM(K104:K106,)</f>
        <v>70.679000000000002</v>
      </c>
      <c r="L107" s="1059">
        <f>SUM(L104:L106,)</f>
        <v>0</v>
      </c>
      <c r="M107" s="1059">
        <f>SUM(M105:M106,)</f>
        <v>0</v>
      </c>
      <c r="N107" s="3237"/>
      <c r="O107" s="3187"/>
      <c r="P107" s="2916"/>
      <c r="Q107" s="2916"/>
      <c r="R107" s="2912"/>
      <c r="S107" s="2912"/>
      <c r="T107" s="2912"/>
      <c r="U107" s="2912"/>
      <c r="V107" s="2912"/>
    </row>
    <row r="108" spans="1:23" ht="29.25" customHeight="1">
      <c r="A108" s="3199" t="s">
        <v>2178</v>
      </c>
      <c r="B108" s="3196" t="s">
        <v>2958</v>
      </c>
      <c r="C108" s="3190">
        <v>188711925</v>
      </c>
      <c r="D108" s="1808" t="s">
        <v>2928</v>
      </c>
      <c r="E108" s="1527"/>
      <c r="F108" s="1534"/>
      <c r="G108" s="1527"/>
      <c r="H108" s="1535">
        <v>115.432</v>
      </c>
      <c r="I108" s="1053"/>
      <c r="J108" s="948"/>
      <c r="K108" s="1053">
        <v>53.085000000000001</v>
      </c>
      <c r="L108" s="1658"/>
      <c r="M108" s="1535"/>
      <c r="N108" s="3235" t="s">
        <v>2510</v>
      </c>
      <c r="O108" s="2921" t="s">
        <v>2683</v>
      </c>
      <c r="P108" s="2910" t="s">
        <v>1830</v>
      </c>
      <c r="Q108" s="2910" t="s">
        <v>2960</v>
      </c>
      <c r="R108" s="1528" t="s">
        <v>434</v>
      </c>
      <c r="S108" s="2910" t="s">
        <v>434</v>
      </c>
      <c r="T108" s="2910" t="s">
        <v>1831</v>
      </c>
      <c r="U108" s="2916"/>
      <c r="V108" s="2910" t="s">
        <v>2499</v>
      </c>
    </row>
    <row r="109" spans="1:23" ht="32.25" customHeight="1">
      <c r="A109" s="3199"/>
      <c r="B109" s="3192"/>
      <c r="C109" s="3185"/>
      <c r="D109" s="1792" t="s">
        <v>471</v>
      </c>
      <c r="E109" s="1579"/>
      <c r="F109" s="1580"/>
      <c r="G109" s="1579"/>
      <c r="H109" s="1535"/>
      <c r="I109" s="1053"/>
      <c r="J109" s="948">
        <v>53.084000000000003</v>
      </c>
      <c r="K109" s="1535"/>
      <c r="L109" s="1853"/>
      <c r="M109" s="1535"/>
      <c r="N109" s="3236"/>
      <c r="O109" s="2922"/>
      <c r="P109" s="2911"/>
      <c r="Q109" s="2912"/>
      <c r="R109" s="1528"/>
      <c r="S109" s="2912"/>
      <c r="T109" s="2912"/>
      <c r="U109" s="2916"/>
      <c r="V109" s="2911"/>
    </row>
    <row r="110" spans="1:23" ht="31.15" customHeight="1">
      <c r="A110" s="3199"/>
      <c r="B110" s="3192"/>
      <c r="C110" s="3185"/>
      <c r="D110" s="1796" t="s">
        <v>246</v>
      </c>
      <c r="E110" s="1579"/>
      <c r="F110" s="1580"/>
      <c r="G110" s="1579"/>
      <c r="H110" s="1535"/>
      <c r="I110" s="1053"/>
      <c r="J110" s="948">
        <v>300.80799999999999</v>
      </c>
      <c r="K110" s="1535">
        <v>300.80799999999999</v>
      </c>
      <c r="L110" s="1853">
        <v>902.423</v>
      </c>
      <c r="M110" s="1535">
        <v>300.80700000000002</v>
      </c>
      <c r="N110" s="3236"/>
      <c r="O110" s="2922"/>
      <c r="P110" s="2911"/>
      <c r="Q110" s="1532" t="s">
        <v>1827</v>
      </c>
      <c r="R110" s="1528" t="s">
        <v>434</v>
      </c>
      <c r="S110" s="1528" t="s">
        <v>434</v>
      </c>
      <c r="T110" s="1528" t="s">
        <v>1832</v>
      </c>
      <c r="U110" s="1528"/>
      <c r="V110" s="2911"/>
      <c r="W110" s="426" t="s">
        <v>2761</v>
      </c>
    </row>
    <row r="111" spans="1:23" ht="50.45" customHeight="1">
      <c r="A111" s="3200"/>
      <c r="B111" s="3192"/>
      <c r="C111" s="3185"/>
      <c r="D111" s="1797" t="s">
        <v>1076</v>
      </c>
      <c r="E111" s="1573">
        <f>SUM(E108:E110,)</f>
        <v>0</v>
      </c>
      <c r="F111" s="1574"/>
      <c r="G111" s="1573">
        <f t="shared" ref="G111" si="39">SUM(G108:G110,)</f>
        <v>0</v>
      </c>
      <c r="H111" s="1608">
        <f>SUM(H108:H110,)</f>
        <v>115.432</v>
      </c>
      <c r="I111" s="1089"/>
      <c r="J111" s="1709">
        <f>SUM(J108:J110,)</f>
        <v>353.892</v>
      </c>
      <c r="K111" s="1089">
        <f t="shared" ref="K111:M111" si="40">SUM(K108:K110,)</f>
        <v>353.89299999999997</v>
      </c>
      <c r="L111" s="1089">
        <f t="shared" si="40"/>
        <v>902.423</v>
      </c>
      <c r="M111" s="1089">
        <f t="shared" si="40"/>
        <v>300.80700000000002</v>
      </c>
      <c r="N111" s="3236"/>
      <c r="O111" s="3201"/>
      <c r="P111" s="2911"/>
      <c r="Q111" s="1529" t="s">
        <v>1829</v>
      </c>
      <c r="R111" s="1529" t="s">
        <v>434</v>
      </c>
      <c r="S111" s="1529" t="s">
        <v>434</v>
      </c>
      <c r="T111" s="1529" t="s">
        <v>324</v>
      </c>
      <c r="U111" s="1528"/>
      <c r="V111" s="2911"/>
    </row>
    <row r="112" spans="1:23" ht="54" customHeight="1">
      <c r="A112" s="1770" t="s">
        <v>2179</v>
      </c>
      <c r="B112" s="1771" t="s">
        <v>1752</v>
      </c>
      <c r="C112" s="1770"/>
      <c r="D112" s="1770"/>
      <c r="E112" s="1772">
        <f>SUM(E114)</f>
        <v>152.56</v>
      </c>
      <c r="F112" s="1773">
        <f t="shared" si="0"/>
        <v>0.1921211326691139</v>
      </c>
      <c r="G112" s="1772">
        <f t="shared" ref="G112:L112" si="41">SUM(G114)</f>
        <v>177.24699999999999</v>
      </c>
      <c r="H112" s="1774">
        <f t="shared" si="41"/>
        <v>181.87000000000003</v>
      </c>
      <c r="I112" s="1095"/>
      <c r="J112" s="1702"/>
      <c r="K112" s="1774">
        <f t="shared" si="41"/>
        <v>158.4</v>
      </c>
      <c r="L112" s="1854">
        <f t="shared" si="41"/>
        <v>158.4</v>
      </c>
      <c r="M112" s="1774"/>
      <c r="N112" s="2227" t="s">
        <v>1023</v>
      </c>
      <c r="O112" s="1770"/>
      <c r="P112" s="1775" t="s">
        <v>1594</v>
      </c>
      <c r="Q112" s="1775" t="s">
        <v>1747</v>
      </c>
      <c r="R112" s="1775" t="s">
        <v>1745</v>
      </c>
      <c r="S112" s="1775" t="s">
        <v>1746</v>
      </c>
      <c r="T112" s="1775" t="s">
        <v>586</v>
      </c>
      <c r="U112" s="1775"/>
      <c r="V112" s="1775" t="s">
        <v>1030</v>
      </c>
    </row>
    <row r="113" spans="1:22" ht="32.450000000000003" customHeight="1">
      <c r="A113" s="3210" t="s">
        <v>2180</v>
      </c>
      <c r="B113" s="3258" t="s">
        <v>1276</v>
      </c>
      <c r="C113" s="3184" t="s">
        <v>1080</v>
      </c>
      <c r="D113" s="1792" t="s">
        <v>471</v>
      </c>
      <c r="E113" s="1510">
        <f>SUM(E115:E130)</f>
        <v>152.56</v>
      </c>
      <c r="F113" s="1526">
        <f t="shared" si="0"/>
        <v>0.1921211326691139</v>
      </c>
      <c r="G113" s="1510">
        <f t="shared" ref="G113:M113" si="42">SUM(G115:G130)</f>
        <v>177.24699999999999</v>
      </c>
      <c r="H113" s="1793">
        <f t="shared" si="42"/>
        <v>181.87000000000003</v>
      </c>
      <c r="I113" s="1100"/>
      <c r="J113" s="1605"/>
      <c r="K113" s="1793">
        <f t="shared" si="42"/>
        <v>158.4</v>
      </c>
      <c r="L113" s="1813">
        <f t="shared" si="42"/>
        <v>158.4</v>
      </c>
      <c r="M113" s="1813">
        <f t="shared" si="42"/>
        <v>158.4</v>
      </c>
      <c r="N113" s="3236" t="s">
        <v>2511</v>
      </c>
      <c r="O113" s="2922" t="s">
        <v>1575</v>
      </c>
      <c r="P113" s="2912" t="s">
        <v>1596</v>
      </c>
      <c r="Q113" s="2912" t="s">
        <v>1595</v>
      </c>
      <c r="R113" s="2912" t="s">
        <v>1597</v>
      </c>
      <c r="S113" s="2912" t="s">
        <v>1597</v>
      </c>
      <c r="T113" s="2912" t="s">
        <v>1597</v>
      </c>
      <c r="U113" s="2910" t="s">
        <v>1597</v>
      </c>
      <c r="V113" s="3179" t="s">
        <v>2512</v>
      </c>
    </row>
    <row r="114" spans="1:22" ht="32.450000000000003" customHeight="1">
      <c r="A114" s="3199"/>
      <c r="B114" s="3259"/>
      <c r="C114" s="3185"/>
      <c r="D114" s="1797" t="s">
        <v>1076</v>
      </c>
      <c r="E114" s="1513">
        <f>E113</f>
        <v>152.56</v>
      </c>
      <c r="F114" s="1514">
        <f t="shared" si="0"/>
        <v>0.1921211326691139</v>
      </c>
      <c r="G114" s="1513">
        <f t="shared" ref="G114:L114" si="43">G113</f>
        <v>177.24699999999999</v>
      </c>
      <c r="H114" s="1560">
        <f t="shared" si="43"/>
        <v>181.87000000000003</v>
      </c>
      <c r="I114" s="1059"/>
      <c r="J114" s="1704"/>
      <c r="K114" s="1560">
        <f t="shared" si="43"/>
        <v>158.4</v>
      </c>
      <c r="L114" s="1684">
        <f t="shared" si="43"/>
        <v>158.4</v>
      </c>
      <c r="M114" s="1560"/>
      <c r="N114" s="3237"/>
      <c r="O114" s="3207"/>
      <c r="P114" s="2916"/>
      <c r="Q114" s="2916"/>
      <c r="R114" s="2916"/>
      <c r="S114" s="2916"/>
      <c r="T114" s="2916"/>
      <c r="U114" s="2912"/>
      <c r="V114" s="3180"/>
    </row>
    <row r="115" spans="1:22" ht="20.100000000000001" hidden="1" customHeight="1">
      <c r="A115" s="1855"/>
      <c r="B115" s="1856" t="s">
        <v>506</v>
      </c>
      <c r="C115" s="1857"/>
      <c r="D115" s="1858"/>
      <c r="E115" s="1859">
        <v>135.71</v>
      </c>
      <c r="F115" s="1860"/>
      <c r="G115" s="1518">
        <v>161.80699999999999</v>
      </c>
      <c r="H115" s="1491">
        <v>161.81</v>
      </c>
      <c r="I115" s="989"/>
      <c r="J115" s="1518">
        <v>140.93</v>
      </c>
      <c r="K115" s="1491">
        <v>140.93</v>
      </c>
      <c r="L115" s="1491">
        <v>140.93</v>
      </c>
      <c r="M115" s="1491">
        <v>140.93</v>
      </c>
      <c r="N115" s="2236"/>
      <c r="O115" s="1861"/>
      <c r="P115" s="1862"/>
      <c r="Q115" s="1863"/>
      <c r="R115" s="1862"/>
      <c r="S115" s="1862"/>
      <c r="T115" s="1862"/>
      <c r="U115" s="1862"/>
      <c r="V115" s="3180"/>
    </row>
    <row r="116" spans="1:22" ht="20.100000000000001" hidden="1" customHeight="1">
      <c r="A116" s="1855"/>
      <c r="B116" s="1856" t="s">
        <v>1565</v>
      </c>
      <c r="C116" s="1857"/>
      <c r="D116" s="1858"/>
      <c r="E116" s="1859">
        <v>1.7</v>
      </c>
      <c r="F116" s="1860"/>
      <c r="G116" s="1518">
        <v>2</v>
      </c>
      <c r="H116" s="1491">
        <v>2.02</v>
      </c>
      <c r="I116" s="989"/>
      <c r="J116" s="1518">
        <v>2.02</v>
      </c>
      <c r="K116" s="1491">
        <v>1.76</v>
      </c>
      <c r="L116" s="1491">
        <v>1.76</v>
      </c>
      <c r="M116" s="1491">
        <v>1.76</v>
      </c>
      <c r="N116" s="2236"/>
      <c r="O116" s="1861"/>
      <c r="P116" s="1862"/>
      <c r="Q116" s="1863"/>
      <c r="R116" s="1862"/>
      <c r="S116" s="1862"/>
      <c r="T116" s="1862"/>
      <c r="U116" s="1862"/>
      <c r="V116" s="3180"/>
    </row>
    <row r="117" spans="1:22" ht="20.100000000000001" hidden="1" customHeight="1">
      <c r="A117" s="1855"/>
      <c r="B117" s="1856" t="s">
        <v>1566</v>
      </c>
      <c r="C117" s="1857"/>
      <c r="D117" s="1858"/>
      <c r="E117" s="1864">
        <v>0.88</v>
      </c>
      <c r="F117" s="1860"/>
      <c r="G117" s="1864">
        <v>0.88</v>
      </c>
      <c r="H117" s="1491">
        <v>1.05</v>
      </c>
      <c r="I117" s="989"/>
      <c r="J117" s="1518">
        <v>1.05</v>
      </c>
      <c r="K117" s="1865">
        <v>0.91</v>
      </c>
      <c r="L117" s="1865">
        <v>0.91</v>
      </c>
      <c r="M117" s="1865">
        <v>0.91</v>
      </c>
      <c r="N117" s="2237"/>
      <c r="O117" s="1861"/>
      <c r="P117" s="1862"/>
      <c r="Q117" s="1863"/>
      <c r="R117" s="1862"/>
      <c r="S117" s="1862"/>
      <c r="T117" s="1862"/>
      <c r="U117" s="1862"/>
      <c r="V117" s="3180"/>
    </row>
    <row r="118" spans="1:22" ht="20.100000000000001" hidden="1" customHeight="1">
      <c r="A118" s="1855"/>
      <c r="B118" s="1856" t="s">
        <v>1085</v>
      </c>
      <c r="C118" s="1857"/>
      <c r="D118" s="1858"/>
      <c r="E118" s="1859">
        <v>1.74</v>
      </c>
      <c r="F118" s="1860"/>
      <c r="G118" s="1518">
        <v>1.9550000000000001</v>
      </c>
      <c r="H118" s="1491">
        <v>2.0699999999999998</v>
      </c>
      <c r="I118" s="989"/>
      <c r="J118" s="1518">
        <v>2</v>
      </c>
      <c r="K118" s="1491">
        <v>1.8</v>
      </c>
      <c r="L118" s="1491">
        <v>1.8</v>
      </c>
      <c r="M118" s="1491">
        <v>1.8</v>
      </c>
      <c r="N118" s="2236"/>
      <c r="O118" s="1861"/>
      <c r="P118" s="1862"/>
      <c r="Q118" s="1863"/>
      <c r="R118" s="1862"/>
      <c r="S118" s="1862"/>
      <c r="T118" s="1862"/>
      <c r="U118" s="1862"/>
      <c r="V118" s="3180"/>
    </row>
    <row r="119" spans="1:22" ht="20.100000000000001" hidden="1" customHeight="1">
      <c r="A119" s="1855"/>
      <c r="B119" s="1856" t="s">
        <v>1567</v>
      </c>
      <c r="C119" s="1857"/>
      <c r="D119" s="1858"/>
      <c r="E119" s="1859">
        <v>1.9</v>
      </c>
      <c r="F119" s="1860"/>
      <c r="G119" s="1518">
        <v>2.2650000000000001</v>
      </c>
      <c r="H119" s="1491">
        <v>2.27</v>
      </c>
      <c r="I119" s="989"/>
      <c r="J119" s="1518">
        <v>2.4900000000000002</v>
      </c>
      <c r="K119" s="1491">
        <v>1.97</v>
      </c>
      <c r="L119" s="1491">
        <v>1.97</v>
      </c>
      <c r="M119" s="1491">
        <v>1.97</v>
      </c>
      <c r="N119" s="2236"/>
      <c r="O119" s="1861"/>
      <c r="P119" s="1862"/>
      <c r="Q119" s="1863"/>
      <c r="R119" s="1862"/>
      <c r="S119" s="1862"/>
      <c r="T119" s="1862"/>
      <c r="U119" s="1862"/>
      <c r="V119" s="3180"/>
    </row>
    <row r="120" spans="1:22" ht="20.100000000000001" hidden="1" customHeight="1">
      <c r="A120" s="1855"/>
      <c r="B120" s="1856" t="s">
        <v>1568</v>
      </c>
      <c r="C120" s="1857"/>
      <c r="D120" s="1858"/>
      <c r="E120" s="1866">
        <v>1.2</v>
      </c>
      <c r="F120" s="1860"/>
      <c r="G120" s="1518">
        <v>1.35</v>
      </c>
      <c r="H120" s="1491">
        <v>1.42</v>
      </c>
      <c r="I120" s="989"/>
      <c r="J120" s="1518">
        <v>1.42</v>
      </c>
      <c r="K120" s="1491">
        <v>1.24</v>
      </c>
      <c r="L120" s="1491">
        <v>1.24</v>
      </c>
      <c r="M120" s="1491">
        <v>1.24</v>
      </c>
      <c r="N120" s="2238"/>
      <c r="O120" s="1861"/>
      <c r="P120" s="1862"/>
      <c r="Q120" s="1863"/>
      <c r="R120" s="1862"/>
      <c r="S120" s="1862"/>
      <c r="T120" s="1862"/>
      <c r="U120" s="1862"/>
      <c r="V120" s="3180"/>
    </row>
    <row r="121" spans="1:22" ht="20.100000000000001" hidden="1" customHeight="1">
      <c r="A121" s="1855"/>
      <c r="B121" s="1856" t="s">
        <v>1569</v>
      </c>
      <c r="C121" s="1857"/>
      <c r="D121" s="1858"/>
      <c r="E121" s="1859">
        <v>1.1200000000000001</v>
      </c>
      <c r="F121" s="1860"/>
      <c r="G121" s="1859">
        <v>1.1200000000000001</v>
      </c>
      <c r="H121" s="1491">
        <v>1.33</v>
      </c>
      <c r="I121" s="989"/>
      <c r="J121" s="1518">
        <v>1.45</v>
      </c>
      <c r="K121" s="1491">
        <v>1.1599999999999999</v>
      </c>
      <c r="L121" s="1491">
        <v>1.1599999999999999</v>
      </c>
      <c r="M121" s="1491">
        <v>1.1599999999999999</v>
      </c>
      <c r="N121" s="2236"/>
      <c r="O121" s="1861"/>
      <c r="P121" s="1862"/>
      <c r="Q121" s="1863"/>
      <c r="R121" s="1862"/>
      <c r="S121" s="1862"/>
      <c r="T121" s="1862"/>
      <c r="U121" s="1862"/>
      <c r="V121" s="3180"/>
    </row>
    <row r="122" spans="1:22" ht="20.100000000000001" hidden="1" customHeight="1">
      <c r="A122" s="1855"/>
      <c r="B122" s="1856" t="s">
        <v>1570</v>
      </c>
      <c r="C122" s="1857"/>
      <c r="D122" s="1858"/>
      <c r="E122" s="1864">
        <v>0.68</v>
      </c>
      <c r="F122" s="1860"/>
      <c r="G122" s="1864">
        <v>0.68</v>
      </c>
      <c r="H122" s="1491">
        <v>0.81</v>
      </c>
      <c r="I122" s="989"/>
      <c r="J122" s="1518">
        <v>0.81</v>
      </c>
      <c r="K122" s="1491">
        <v>0.71</v>
      </c>
      <c r="L122" s="1491">
        <v>0.71</v>
      </c>
      <c r="M122" s="1491">
        <v>0.71</v>
      </c>
      <c r="N122" s="2236"/>
      <c r="O122" s="1861"/>
      <c r="P122" s="1862"/>
      <c r="Q122" s="1863"/>
      <c r="R122" s="1862"/>
      <c r="S122" s="1862"/>
      <c r="T122" s="1862"/>
      <c r="U122" s="1862"/>
      <c r="V122" s="3180"/>
    </row>
    <row r="123" spans="1:22" ht="20.100000000000001" hidden="1" customHeight="1">
      <c r="A123" s="1855"/>
      <c r="B123" s="1856" t="s">
        <v>1571</v>
      </c>
      <c r="C123" s="1857"/>
      <c r="D123" s="1858"/>
      <c r="E123" s="1864">
        <v>0.755</v>
      </c>
      <c r="F123" s="1860"/>
      <c r="G123" s="1518">
        <v>0.86</v>
      </c>
      <c r="H123" s="1491">
        <v>0.9</v>
      </c>
      <c r="I123" s="989"/>
      <c r="J123" s="1518">
        <v>0.9</v>
      </c>
      <c r="K123" s="1491">
        <v>0.79</v>
      </c>
      <c r="L123" s="1491">
        <v>0.79</v>
      </c>
      <c r="M123" s="1491">
        <v>0.79</v>
      </c>
      <c r="N123" s="2238"/>
      <c r="O123" s="1861"/>
      <c r="P123" s="1862"/>
      <c r="Q123" s="1863"/>
      <c r="R123" s="1862"/>
      <c r="S123" s="1862"/>
      <c r="T123" s="1862"/>
      <c r="U123" s="1862"/>
      <c r="V123" s="3180"/>
    </row>
    <row r="124" spans="1:22" ht="20.100000000000001" hidden="1" customHeight="1">
      <c r="A124" s="1855"/>
      <c r="B124" s="1856" t="s">
        <v>1572</v>
      </c>
      <c r="C124" s="1857"/>
      <c r="D124" s="1858"/>
      <c r="E124" s="1864">
        <v>0.48</v>
      </c>
      <c r="F124" s="1860"/>
      <c r="G124" s="1864">
        <v>0.48</v>
      </c>
      <c r="H124" s="1491">
        <v>0.56999999999999995</v>
      </c>
      <c r="I124" s="989"/>
      <c r="J124" s="1518">
        <v>0.6</v>
      </c>
      <c r="K124" s="1865">
        <v>0.5</v>
      </c>
      <c r="L124" s="1865">
        <v>0.5</v>
      </c>
      <c r="M124" s="1865">
        <v>0.5</v>
      </c>
      <c r="N124" s="2237"/>
      <c r="O124" s="1861"/>
      <c r="P124" s="1862"/>
      <c r="Q124" s="1863"/>
      <c r="R124" s="1862"/>
      <c r="S124" s="1862"/>
      <c r="T124" s="1862"/>
      <c r="U124" s="1862"/>
      <c r="V124" s="3180"/>
    </row>
    <row r="125" spans="1:22" ht="20.100000000000001" hidden="1" customHeight="1">
      <c r="A125" s="1855"/>
      <c r="B125" s="1856" t="s">
        <v>1573</v>
      </c>
      <c r="C125" s="1857"/>
      <c r="D125" s="1858"/>
      <c r="E125" s="1864">
        <v>0.44</v>
      </c>
      <c r="F125" s="1860"/>
      <c r="G125" s="1518">
        <v>0.5</v>
      </c>
      <c r="H125" s="1491">
        <v>0.53</v>
      </c>
      <c r="I125" s="989"/>
      <c r="J125" s="1518">
        <v>0.55000000000000004</v>
      </c>
      <c r="K125" s="1491">
        <v>0.46</v>
      </c>
      <c r="L125" s="1491">
        <v>0.46</v>
      </c>
      <c r="M125" s="1491">
        <v>0.46</v>
      </c>
      <c r="N125" s="2236"/>
      <c r="O125" s="1861"/>
      <c r="P125" s="1862"/>
      <c r="Q125" s="1863"/>
      <c r="R125" s="1862"/>
      <c r="S125" s="1862"/>
      <c r="T125" s="1862"/>
      <c r="U125" s="1862"/>
      <c r="V125" s="3180"/>
    </row>
    <row r="126" spans="1:22" ht="20.100000000000001" hidden="1" customHeight="1">
      <c r="A126" s="1855"/>
      <c r="B126" s="1856" t="s">
        <v>1574</v>
      </c>
      <c r="C126" s="1857"/>
      <c r="D126" s="1858"/>
      <c r="E126" s="1864">
        <v>0.97</v>
      </c>
      <c r="F126" s="1860"/>
      <c r="G126" s="1518">
        <v>1.1000000000000001</v>
      </c>
      <c r="H126" s="1491">
        <v>1.1599999999999999</v>
      </c>
      <c r="I126" s="989"/>
      <c r="J126" s="1518">
        <v>1.1599999999999999</v>
      </c>
      <c r="K126" s="1491">
        <v>1.01</v>
      </c>
      <c r="L126" s="1491">
        <v>1.01</v>
      </c>
      <c r="M126" s="1491">
        <v>1.01</v>
      </c>
      <c r="N126" s="2238"/>
      <c r="O126" s="1861"/>
      <c r="P126" s="1862"/>
      <c r="Q126" s="1863"/>
      <c r="R126" s="1862"/>
      <c r="S126" s="1862"/>
      <c r="T126" s="1862"/>
      <c r="U126" s="1862"/>
      <c r="V126" s="3180"/>
    </row>
    <row r="127" spans="1:22" ht="20.100000000000001" hidden="1" customHeight="1">
      <c r="A127" s="1855"/>
      <c r="B127" s="1856" t="s">
        <v>1391</v>
      </c>
      <c r="C127" s="1857"/>
      <c r="D127" s="1858"/>
      <c r="E127" s="1864">
        <v>1.91</v>
      </c>
      <c r="F127" s="1860"/>
      <c r="G127" s="1518">
        <v>1.9</v>
      </c>
      <c r="H127" s="1491">
        <v>2.2799999999999998</v>
      </c>
      <c r="I127" s="989"/>
      <c r="J127" s="1518"/>
      <c r="K127" s="1491">
        <v>1.98</v>
      </c>
      <c r="L127" s="1491">
        <v>1.98</v>
      </c>
      <c r="M127" s="1491">
        <v>1.98</v>
      </c>
      <c r="N127" s="2236"/>
      <c r="O127" s="1861"/>
      <c r="P127" s="1862"/>
      <c r="Q127" s="1863"/>
      <c r="R127" s="1862"/>
      <c r="S127" s="1862"/>
      <c r="T127" s="1862"/>
      <c r="U127" s="1862"/>
      <c r="V127" s="3180"/>
    </row>
    <row r="128" spans="1:22" ht="20.100000000000001" hidden="1" customHeight="1">
      <c r="A128" s="1855"/>
      <c r="B128" s="1856" t="s">
        <v>1447</v>
      </c>
      <c r="C128" s="1857"/>
      <c r="D128" s="1858"/>
      <c r="E128" s="1864">
        <v>0.68</v>
      </c>
      <c r="F128" s="1860"/>
      <c r="G128" s="1518"/>
      <c r="H128" s="1491">
        <v>0.81</v>
      </c>
      <c r="I128" s="989"/>
      <c r="J128" s="1518"/>
      <c r="K128" s="1491">
        <v>0.71</v>
      </c>
      <c r="L128" s="1491">
        <v>0.71</v>
      </c>
      <c r="M128" s="1491">
        <v>0.71</v>
      </c>
      <c r="N128" s="2236"/>
      <c r="O128" s="1861"/>
      <c r="P128" s="1862"/>
      <c r="Q128" s="1863"/>
      <c r="R128" s="1862"/>
      <c r="S128" s="1862"/>
      <c r="T128" s="1862"/>
      <c r="U128" s="1862"/>
      <c r="V128" s="3180"/>
    </row>
    <row r="129" spans="1:22" ht="20.100000000000001" hidden="1" customHeight="1">
      <c r="A129" s="1855"/>
      <c r="B129" s="1856" t="s">
        <v>1392</v>
      </c>
      <c r="C129" s="1857"/>
      <c r="D129" s="1858"/>
      <c r="E129" s="1864">
        <v>0.30499999999999999</v>
      </c>
      <c r="F129" s="1860"/>
      <c r="G129" s="1518">
        <v>0.35</v>
      </c>
      <c r="H129" s="1491">
        <v>0.36</v>
      </c>
      <c r="I129" s="989"/>
      <c r="J129" s="1518">
        <v>0.4</v>
      </c>
      <c r="K129" s="1491">
        <v>0.31</v>
      </c>
      <c r="L129" s="1491">
        <v>0.31</v>
      </c>
      <c r="M129" s="1491">
        <v>0.31</v>
      </c>
      <c r="N129" s="2236"/>
      <c r="O129" s="1861"/>
      <c r="P129" s="1862"/>
      <c r="Q129" s="1863"/>
      <c r="R129" s="1862"/>
      <c r="S129" s="1862"/>
      <c r="T129" s="1862"/>
      <c r="U129" s="1862"/>
      <c r="V129" s="3180"/>
    </row>
    <row r="130" spans="1:22" ht="20.100000000000001" hidden="1" customHeight="1">
      <c r="A130" s="1867"/>
      <c r="B130" s="1856" t="s">
        <v>339</v>
      </c>
      <c r="C130" s="1868"/>
      <c r="D130" s="1869"/>
      <c r="E130" s="1870">
        <v>2.09</v>
      </c>
      <c r="F130" s="1871"/>
      <c r="G130" s="1872"/>
      <c r="H130" s="1873">
        <v>2.48</v>
      </c>
      <c r="I130" s="993"/>
      <c r="J130" s="1872"/>
      <c r="K130" s="1873">
        <v>2.16</v>
      </c>
      <c r="L130" s="1874">
        <v>2.16</v>
      </c>
      <c r="M130" s="1874">
        <v>2.16</v>
      </c>
      <c r="N130" s="2231"/>
      <c r="O130" s="1875"/>
      <c r="P130" s="1876"/>
      <c r="Q130" s="1877"/>
      <c r="R130" s="1876"/>
      <c r="S130" s="1876"/>
      <c r="T130" s="1876"/>
      <c r="U130" s="1876"/>
      <c r="V130" s="3180"/>
    </row>
    <row r="131" spans="1:22" ht="32.450000000000003" customHeight="1">
      <c r="A131" s="2844" t="s">
        <v>3924</v>
      </c>
      <c r="B131" s="3215" t="s">
        <v>3502</v>
      </c>
      <c r="C131" s="2706">
        <v>188711925</v>
      </c>
      <c r="D131" s="1035" t="s">
        <v>471</v>
      </c>
      <c r="E131" s="1051">
        <f>SUM(E140:E155)</f>
        <v>7677.7240000000011</v>
      </c>
      <c r="F131" s="1362">
        <f t="shared" ref="F131:F132" si="44">H131/E131-1</f>
        <v>-1</v>
      </c>
      <c r="G131" s="1051">
        <f>SUM(G140:G155)</f>
        <v>9388.492000000002</v>
      </c>
      <c r="H131" s="1051"/>
      <c r="I131" s="1053"/>
      <c r="J131" s="948">
        <v>511.57799999999997</v>
      </c>
      <c r="K131" s="1053">
        <v>116.9</v>
      </c>
      <c r="L131" s="1053">
        <v>242.63</v>
      </c>
      <c r="M131" s="1053"/>
      <c r="N131" s="2394" t="s">
        <v>2511</v>
      </c>
      <c r="O131" s="2395" t="s">
        <v>3503</v>
      </c>
      <c r="P131" s="2342" t="s">
        <v>1596</v>
      </c>
      <c r="Q131" s="2342" t="s">
        <v>2512</v>
      </c>
      <c r="R131" s="2342"/>
      <c r="S131" s="2342" t="s">
        <v>324</v>
      </c>
      <c r="T131" s="2342" t="s">
        <v>433</v>
      </c>
      <c r="U131" s="2342" t="s">
        <v>433</v>
      </c>
      <c r="V131" s="3180"/>
    </row>
    <row r="132" spans="1:22" ht="45" customHeight="1">
      <c r="A132" s="3214"/>
      <c r="B132" s="3215"/>
      <c r="C132" s="2706"/>
      <c r="D132" s="1056" t="s">
        <v>1076</v>
      </c>
      <c r="E132" s="1057">
        <f>E131</f>
        <v>7677.7240000000011</v>
      </c>
      <c r="F132" s="1407">
        <f t="shared" si="44"/>
        <v>-1</v>
      </c>
      <c r="G132" s="1057">
        <f t="shared" ref="G132" si="45">G131</f>
        <v>9388.492000000002</v>
      </c>
      <c r="H132" s="1057"/>
      <c r="I132" s="1059"/>
      <c r="J132" s="1057">
        <f>J131</f>
        <v>511.57799999999997</v>
      </c>
      <c r="K132" s="1059">
        <f t="shared" ref="K132:M132" si="46">K131</f>
        <v>116.9</v>
      </c>
      <c r="L132" s="1059">
        <f t="shared" si="46"/>
        <v>242.63</v>
      </c>
      <c r="M132" s="1059">
        <f t="shared" si="46"/>
        <v>0</v>
      </c>
      <c r="N132" s="2394"/>
      <c r="O132" s="2396"/>
      <c r="P132" s="2342"/>
      <c r="Q132" s="2342"/>
      <c r="R132" s="2342"/>
      <c r="S132" s="2342"/>
      <c r="T132" s="2342"/>
      <c r="U132" s="2342"/>
      <c r="V132" s="3181"/>
    </row>
    <row r="133" spans="1:22" ht="54.6" hidden="1" customHeight="1">
      <c r="A133" s="1878"/>
      <c r="B133" s="1879" t="s">
        <v>3504</v>
      </c>
      <c r="C133" s="1880"/>
      <c r="D133" s="1881"/>
      <c r="E133" s="1127"/>
      <c r="F133" s="1427"/>
      <c r="G133" s="1127"/>
      <c r="H133" s="1127"/>
      <c r="I133" s="1005"/>
      <c r="J133" s="1102"/>
      <c r="K133" s="1127"/>
      <c r="L133" s="1882"/>
      <c r="M133" s="1127"/>
      <c r="N133" s="286"/>
      <c r="O133" s="1102"/>
      <c r="P133" s="1593"/>
      <c r="Q133" s="1593"/>
      <c r="R133" s="1593"/>
      <c r="S133" s="1593"/>
      <c r="T133" s="1593"/>
      <c r="U133" s="1593"/>
      <c r="V133" s="1593"/>
    </row>
    <row r="134" spans="1:22" ht="85.9" hidden="1" customHeight="1">
      <c r="A134" s="1878"/>
      <c r="B134" s="1879" t="s">
        <v>3505</v>
      </c>
      <c r="C134" s="1880"/>
      <c r="D134" s="1881"/>
      <c r="E134" s="1127"/>
      <c r="F134" s="1427"/>
      <c r="G134" s="1127"/>
      <c r="H134" s="1127"/>
      <c r="I134" s="1005"/>
      <c r="J134" s="1102"/>
      <c r="K134" s="1127"/>
      <c r="L134" s="1882"/>
      <c r="M134" s="1127"/>
      <c r="N134" s="286"/>
      <c r="O134" s="1102"/>
      <c r="P134" s="1593"/>
      <c r="Q134" s="1593"/>
      <c r="R134" s="1593"/>
      <c r="S134" s="1593"/>
      <c r="T134" s="1593"/>
      <c r="U134" s="1593"/>
      <c r="V134" s="1593"/>
    </row>
    <row r="135" spans="1:22" ht="67.900000000000006" hidden="1" customHeight="1">
      <c r="A135" s="1878"/>
      <c r="B135" s="1879" t="s">
        <v>3506</v>
      </c>
      <c r="C135" s="1880"/>
      <c r="D135" s="1881"/>
      <c r="E135" s="1127"/>
      <c r="F135" s="1427"/>
      <c r="G135" s="1127"/>
      <c r="H135" s="1127"/>
      <c r="I135" s="1005"/>
      <c r="J135" s="1102"/>
      <c r="K135" s="1127"/>
      <c r="L135" s="1882"/>
      <c r="M135" s="1127"/>
      <c r="N135" s="286"/>
      <c r="O135" s="1102"/>
      <c r="P135" s="1593"/>
      <c r="Q135" s="1593"/>
      <c r="R135" s="1593"/>
      <c r="S135" s="1593"/>
      <c r="T135" s="1593"/>
      <c r="U135" s="1593"/>
      <c r="V135" s="1593"/>
    </row>
    <row r="136" spans="1:22" ht="83.45" hidden="1" customHeight="1">
      <c r="A136" s="1878"/>
      <c r="B136" s="1879" t="s">
        <v>3507</v>
      </c>
      <c r="C136" s="1880"/>
      <c r="D136" s="1881"/>
      <c r="E136" s="1127"/>
      <c r="F136" s="1427"/>
      <c r="G136" s="1127"/>
      <c r="H136" s="1127"/>
      <c r="I136" s="1005"/>
      <c r="J136" s="1102"/>
      <c r="K136" s="1127"/>
      <c r="L136" s="1882"/>
      <c r="M136" s="1127"/>
      <c r="N136" s="286"/>
      <c r="O136" s="1102"/>
      <c r="P136" s="1593"/>
      <c r="Q136" s="1593"/>
      <c r="R136" s="1593"/>
      <c r="S136" s="1593"/>
      <c r="T136" s="1593"/>
      <c r="U136" s="1593"/>
      <c r="V136" s="1593"/>
    </row>
    <row r="137" spans="1:22" ht="39.6" hidden="1" customHeight="1">
      <c r="A137" s="1878"/>
      <c r="B137" s="1879" t="s">
        <v>3508</v>
      </c>
      <c r="C137" s="1880"/>
      <c r="D137" s="1881"/>
      <c r="E137" s="1127"/>
      <c r="F137" s="1427"/>
      <c r="G137" s="1127"/>
      <c r="H137" s="1127"/>
      <c r="I137" s="1005"/>
      <c r="J137" s="1102"/>
      <c r="K137" s="1127"/>
      <c r="L137" s="1882"/>
      <c r="M137" s="1127"/>
      <c r="N137" s="286"/>
      <c r="O137" s="1102"/>
      <c r="P137" s="1593"/>
      <c r="Q137" s="1593"/>
      <c r="R137" s="1593"/>
      <c r="S137" s="1593"/>
      <c r="T137" s="1593"/>
      <c r="U137" s="1593"/>
      <c r="V137" s="1593"/>
    </row>
    <row r="138" spans="1:22" ht="37.15" hidden="1" customHeight="1">
      <c r="A138" s="1878"/>
      <c r="B138" s="1879" t="s">
        <v>3509</v>
      </c>
      <c r="C138" s="1880"/>
      <c r="D138" s="1881"/>
      <c r="E138" s="1127"/>
      <c r="F138" s="1427"/>
      <c r="G138" s="1127"/>
      <c r="H138" s="1127"/>
      <c r="I138" s="1005"/>
      <c r="J138" s="1102"/>
      <c r="K138" s="1127"/>
      <c r="L138" s="1882"/>
      <c r="M138" s="1127"/>
      <c r="N138" s="286"/>
      <c r="O138" s="1102"/>
      <c r="P138" s="1593"/>
      <c r="Q138" s="1593"/>
      <c r="R138" s="1593"/>
      <c r="S138" s="1593"/>
      <c r="T138" s="1593"/>
      <c r="U138" s="1593"/>
      <c r="V138" s="1593"/>
    </row>
    <row r="139" spans="1:22" ht="36" hidden="1" customHeight="1">
      <c r="A139" s="1878"/>
      <c r="B139" s="1879" t="s">
        <v>3510</v>
      </c>
      <c r="C139" s="1880"/>
      <c r="D139" s="1881"/>
      <c r="E139" s="1127"/>
      <c r="F139" s="1427"/>
      <c r="G139" s="1127"/>
      <c r="H139" s="1127"/>
      <c r="I139" s="1005"/>
      <c r="J139" s="1102"/>
      <c r="K139" s="1127"/>
      <c r="L139" s="1882"/>
      <c r="M139" s="1127"/>
      <c r="N139" s="286"/>
      <c r="O139" s="1102"/>
      <c r="P139" s="1593"/>
      <c r="Q139" s="1593"/>
      <c r="R139" s="1593"/>
      <c r="S139" s="1593"/>
      <c r="T139" s="1593"/>
      <c r="U139" s="1593"/>
      <c r="V139" s="1593"/>
    </row>
    <row r="140" spans="1:22" ht="61.15" customHeight="1">
      <c r="A140" s="1770" t="s">
        <v>2181</v>
      </c>
      <c r="B140" s="1771" t="s">
        <v>1751</v>
      </c>
      <c r="C140" s="1770"/>
      <c r="D140" s="1770"/>
      <c r="E140" s="1772">
        <f>SUM(E142)</f>
        <v>0.5</v>
      </c>
      <c r="F140" s="1773">
        <f t="shared" ref="F140:F164" si="47">H140/E140-1</f>
        <v>0</v>
      </c>
      <c r="G140" s="1772">
        <f t="shared" ref="G140:M140" si="48">SUM(G142)</f>
        <v>1</v>
      </c>
      <c r="H140" s="1774">
        <f t="shared" si="48"/>
        <v>0.5</v>
      </c>
      <c r="I140" s="1095"/>
      <c r="J140" s="1702"/>
      <c r="K140" s="1774">
        <f t="shared" si="48"/>
        <v>0.5</v>
      </c>
      <c r="L140" s="1854">
        <f t="shared" si="48"/>
        <v>0.5</v>
      </c>
      <c r="M140" s="1854">
        <f t="shared" si="48"/>
        <v>0.5</v>
      </c>
      <c r="N140" s="2227" t="s">
        <v>1039</v>
      </c>
      <c r="O140" s="1770"/>
      <c r="P140" s="1775" t="s">
        <v>1598</v>
      </c>
      <c r="Q140" s="1775" t="s">
        <v>1748</v>
      </c>
      <c r="R140" s="1775" t="s">
        <v>1745</v>
      </c>
      <c r="S140" s="1775" t="s">
        <v>1746</v>
      </c>
      <c r="T140" s="1775" t="s">
        <v>1746</v>
      </c>
      <c r="U140" s="1775"/>
      <c r="V140" s="1775" t="s">
        <v>1040</v>
      </c>
    </row>
    <row r="141" spans="1:22" ht="26.25" customHeight="1">
      <c r="A141" s="3210" t="s">
        <v>2184</v>
      </c>
      <c r="B141" s="3258" t="s">
        <v>1277</v>
      </c>
      <c r="C141" s="3184">
        <v>188711925</v>
      </c>
      <c r="D141" s="1792" t="s">
        <v>471</v>
      </c>
      <c r="E141" s="1510">
        <v>0.5</v>
      </c>
      <c r="F141" s="1526">
        <f t="shared" si="47"/>
        <v>0</v>
      </c>
      <c r="G141" s="1510">
        <v>1</v>
      </c>
      <c r="H141" s="1793">
        <v>0.5</v>
      </c>
      <c r="I141" s="1053"/>
      <c r="J141" s="948">
        <v>1</v>
      </c>
      <c r="K141" s="1535">
        <v>0.5</v>
      </c>
      <c r="L141" s="1535">
        <v>0.5</v>
      </c>
      <c r="M141" s="1535">
        <v>0.5</v>
      </c>
      <c r="N141" s="3235" t="s">
        <v>2513</v>
      </c>
      <c r="O141" s="2922" t="s">
        <v>4161</v>
      </c>
      <c r="P141" s="2912" t="s">
        <v>1599</v>
      </c>
      <c r="Q141" s="2912" t="s">
        <v>1742</v>
      </c>
      <c r="R141" s="2912" t="s">
        <v>324</v>
      </c>
      <c r="S141" s="2912" t="s">
        <v>324</v>
      </c>
      <c r="T141" s="2912" t="s">
        <v>324</v>
      </c>
      <c r="U141" s="2910"/>
      <c r="V141" s="3240" t="s">
        <v>1040</v>
      </c>
    </row>
    <row r="142" spans="1:22" ht="95.25" customHeight="1">
      <c r="A142" s="3199"/>
      <c r="B142" s="3259"/>
      <c r="C142" s="3185"/>
      <c r="D142" s="1797" t="s">
        <v>1076</v>
      </c>
      <c r="E142" s="1573">
        <f>E141</f>
        <v>0.5</v>
      </c>
      <c r="F142" s="1574">
        <f t="shared" si="47"/>
        <v>0</v>
      </c>
      <c r="G142" s="1573">
        <f t="shared" ref="G142:M142" si="49">G141</f>
        <v>1</v>
      </c>
      <c r="H142" s="1608">
        <f t="shared" si="49"/>
        <v>0.5</v>
      </c>
      <c r="I142" s="1089">
        <f t="shared" si="49"/>
        <v>0</v>
      </c>
      <c r="J142" s="1709">
        <f t="shared" si="49"/>
        <v>1</v>
      </c>
      <c r="K142" s="1608">
        <f t="shared" si="49"/>
        <v>0.5</v>
      </c>
      <c r="L142" s="1608">
        <f t="shared" si="49"/>
        <v>0.5</v>
      </c>
      <c r="M142" s="1608">
        <f t="shared" si="49"/>
        <v>0.5</v>
      </c>
      <c r="N142" s="3237"/>
      <c r="O142" s="3201"/>
      <c r="P142" s="2916"/>
      <c r="Q142" s="2916"/>
      <c r="R142" s="2916"/>
      <c r="S142" s="2916"/>
      <c r="T142" s="2916"/>
      <c r="U142" s="2912"/>
      <c r="V142" s="3241"/>
    </row>
    <row r="143" spans="1:22" ht="49.5" customHeight="1">
      <c r="A143" s="1770" t="s">
        <v>2182</v>
      </c>
      <c r="B143" s="1771" t="s">
        <v>2918</v>
      </c>
      <c r="C143" s="1770"/>
      <c r="D143" s="1770"/>
      <c r="E143" s="1772">
        <f>SUM(E145)</f>
        <v>30</v>
      </c>
      <c r="F143" s="1773">
        <f t="shared" si="47"/>
        <v>1.3333333333333335</v>
      </c>
      <c r="G143" s="1772">
        <f t="shared" ref="G143:M143" si="50">SUM(G145)</f>
        <v>75</v>
      </c>
      <c r="H143" s="1774">
        <f t="shared" si="50"/>
        <v>70</v>
      </c>
      <c r="I143" s="1095"/>
      <c r="J143" s="1702"/>
      <c r="K143" s="1774">
        <f t="shared" si="50"/>
        <v>45</v>
      </c>
      <c r="L143" s="1854">
        <f t="shared" si="50"/>
        <v>45</v>
      </c>
      <c r="M143" s="1854">
        <f t="shared" si="50"/>
        <v>45</v>
      </c>
      <c r="N143" s="2227" t="s">
        <v>999</v>
      </c>
      <c r="O143" s="1770"/>
      <c r="P143" s="1770" t="s">
        <v>1601</v>
      </c>
      <c r="Q143" s="1771" t="s">
        <v>1749</v>
      </c>
      <c r="R143" s="1770" t="s">
        <v>1745</v>
      </c>
      <c r="S143" s="1770" t="s">
        <v>1745</v>
      </c>
      <c r="T143" s="1770" t="s">
        <v>1746</v>
      </c>
      <c r="U143" s="1770"/>
      <c r="V143" s="1771" t="s">
        <v>2607</v>
      </c>
    </row>
    <row r="144" spans="1:22" ht="34.5" customHeight="1">
      <c r="A144" s="3210" t="s">
        <v>2185</v>
      </c>
      <c r="B144" s="3258" t="s">
        <v>4191</v>
      </c>
      <c r="C144" s="3184">
        <v>188711925</v>
      </c>
      <c r="D144" s="1792" t="s">
        <v>471</v>
      </c>
      <c r="E144" s="1510">
        <v>30</v>
      </c>
      <c r="F144" s="1526">
        <f t="shared" si="47"/>
        <v>1.3333333333333335</v>
      </c>
      <c r="G144" s="1510">
        <v>75</v>
      </c>
      <c r="H144" s="1793">
        <v>70</v>
      </c>
      <c r="I144" s="1053"/>
      <c r="J144" s="948">
        <f>J146+J148</f>
        <v>50</v>
      </c>
      <c r="K144" s="1053">
        <f t="shared" ref="K144:M144" si="51">K146+K148</f>
        <v>45</v>
      </c>
      <c r="L144" s="1053">
        <f t="shared" si="51"/>
        <v>45</v>
      </c>
      <c r="M144" s="1053">
        <f t="shared" si="51"/>
        <v>45</v>
      </c>
      <c r="N144" s="3234" t="s">
        <v>2514</v>
      </c>
      <c r="O144" s="3186" t="s">
        <v>4159</v>
      </c>
      <c r="P144" s="2916" t="s">
        <v>1602</v>
      </c>
      <c r="Q144" s="2916" t="s">
        <v>1600</v>
      </c>
      <c r="R144" s="2916" t="s">
        <v>1409</v>
      </c>
      <c r="S144" s="2916" t="s">
        <v>1409</v>
      </c>
      <c r="T144" s="2916" t="s">
        <v>1409</v>
      </c>
      <c r="U144" s="2916" t="s">
        <v>1409</v>
      </c>
      <c r="V144" s="3239" t="s">
        <v>2515</v>
      </c>
    </row>
    <row r="145" spans="1:22" ht="74.25" customHeight="1">
      <c r="A145" s="3200"/>
      <c r="B145" s="3259"/>
      <c r="C145" s="3185"/>
      <c r="D145" s="1797" t="s">
        <v>1076</v>
      </c>
      <c r="E145" s="1573">
        <f>E144</f>
        <v>30</v>
      </c>
      <c r="F145" s="1574">
        <f t="shared" si="47"/>
        <v>1.3333333333333335</v>
      </c>
      <c r="G145" s="1573">
        <f t="shared" ref="G145:M145" si="52">G144</f>
        <v>75</v>
      </c>
      <c r="H145" s="1608">
        <f t="shared" si="52"/>
        <v>70</v>
      </c>
      <c r="I145" s="1059"/>
      <c r="J145" s="1704"/>
      <c r="K145" s="1560">
        <f t="shared" si="52"/>
        <v>45</v>
      </c>
      <c r="L145" s="1560">
        <f t="shared" si="52"/>
        <v>45</v>
      </c>
      <c r="M145" s="1560">
        <f t="shared" si="52"/>
        <v>45</v>
      </c>
      <c r="N145" s="3234"/>
      <c r="O145" s="3187"/>
      <c r="P145" s="2916"/>
      <c r="Q145" s="2916"/>
      <c r="R145" s="2916"/>
      <c r="S145" s="2916"/>
      <c r="T145" s="2916"/>
      <c r="U145" s="2916"/>
      <c r="V145" s="3239"/>
    </row>
    <row r="146" spans="1:22" ht="124.5" hidden="1" customHeight="1">
      <c r="A146" s="561"/>
      <c r="B146" s="538" t="s">
        <v>3337</v>
      </c>
      <c r="C146" s="427"/>
      <c r="D146" s="428"/>
      <c r="E146" s="388"/>
      <c r="F146" s="387"/>
      <c r="G146" s="388"/>
      <c r="H146" s="429"/>
      <c r="I146" s="513"/>
      <c r="J146" s="515">
        <v>45</v>
      </c>
      <c r="K146" s="514">
        <v>45</v>
      </c>
      <c r="L146" s="514">
        <v>45</v>
      </c>
      <c r="M146" s="514">
        <v>45</v>
      </c>
      <c r="N146" s="2228"/>
      <c r="O146" s="538" t="s">
        <v>3340</v>
      </c>
      <c r="P146" s="430"/>
      <c r="Q146" s="430"/>
      <c r="R146" s="562"/>
      <c r="S146" s="562"/>
      <c r="T146" s="562"/>
      <c r="U146" s="562"/>
      <c r="V146" s="430"/>
    </row>
    <row r="147" spans="1:22" ht="44.25" hidden="1" customHeight="1">
      <c r="A147" s="561"/>
      <c r="B147" s="538" t="s">
        <v>3338</v>
      </c>
      <c r="C147" s="427"/>
      <c r="D147" s="428"/>
      <c r="E147" s="388"/>
      <c r="F147" s="387"/>
      <c r="G147" s="388"/>
      <c r="H147" s="429"/>
      <c r="I147" s="513"/>
      <c r="J147" s="515"/>
      <c r="K147" s="513"/>
      <c r="L147" s="545"/>
      <c r="M147" s="513"/>
      <c r="N147" s="2239"/>
      <c r="O147" s="538"/>
      <c r="P147" s="430"/>
      <c r="Q147" s="430"/>
      <c r="R147" s="562"/>
      <c r="S147" s="562"/>
      <c r="T147" s="562"/>
      <c r="U147" s="562"/>
      <c r="V147" s="430"/>
    </row>
    <row r="148" spans="1:22" ht="44.25" hidden="1" customHeight="1">
      <c r="A148" s="561"/>
      <c r="B148" s="538" t="s">
        <v>3339</v>
      </c>
      <c r="C148" s="427"/>
      <c r="D148" s="428"/>
      <c r="E148" s="388"/>
      <c r="F148" s="387"/>
      <c r="G148" s="388"/>
      <c r="H148" s="429"/>
      <c r="I148" s="513"/>
      <c r="J148" s="515">
        <v>5</v>
      </c>
      <c r="K148" s="513">
        <v>0</v>
      </c>
      <c r="L148" s="545">
        <v>0</v>
      </c>
      <c r="M148" s="513">
        <v>0</v>
      </c>
      <c r="N148" s="2239"/>
      <c r="O148" s="538" t="s">
        <v>3341</v>
      </c>
      <c r="P148" s="430"/>
      <c r="Q148" s="430"/>
      <c r="R148" s="562"/>
      <c r="S148" s="562"/>
      <c r="T148" s="562"/>
      <c r="U148" s="562"/>
      <c r="V148" s="430"/>
    </row>
    <row r="149" spans="1:22" ht="57" hidden="1" customHeight="1">
      <c r="A149" s="411" t="s">
        <v>2183</v>
      </c>
      <c r="B149" s="412" t="s">
        <v>1278</v>
      </c>
      <c r="C149" s="411"/>
      <c r="D149" s="411"/>
      <c r="E149" s="379">
        <f>SUM(E152)</f>
        <v>0</v>
      </c>
      <c r="F149" s="380"/>
      <c r="G149" s="379">
        <f t="shared" ref="G149:L149" si="53">SUM(G152)</f>
        <v>0</v>
      </c>
      <c r="H149" s="413">
        <f t="shared" si="53"/>
        <v>0</v>
      </c>
      <c r="I149" s="214"/>
      <c r="J149" s="710"/>
      <c r="K149" s="413">
        <f t="shared" si="53"/>
        <v>0</v>
      </c>
      <c r="L149" s="456">
        <f t="shared" si="53"/>
        <v>0</v>
      </c>
      <c r="M149" s="413"/>
      <c r="N149" s="2227" t="s">
        <v>1013</v>
      </c>
      <c r="O149" s="411"/>
      <c r="P149" s="414" t="s">
        <v>1603</v>
      </c>
      <c r="Q149" s="414" t="s">
        <v>1750</v>
      </c>
      <c r="R149" s="414" t="s">
        <v>434</v>
      </c>
      <c r="S149" s="414" t="s">
        <v>434</v>
      </c>
      <c r="T149" s="414" t="s">
        <v>433</v>
      </c>
      <c r="U149" s="414"/>
      <c r="V149" s="414" t="s">
        <v>2498</v>
      </c>
    </row>
    <row r="150" spans="1:22" ht="39" hidden="1" customHeight="1">
      <c r="A150" s="3230" t="s">
        <v>2684</v>
      </c>
      <c r="B150" s="3232" t="s">
        <v>1279</v>
      </c>
      <c r="C150" s="3221">
        <v>188711925</v>
      </c>
      <c r="D150" s="423" t="s">
        <v>471</v>
      </c>
      <c r="E150" s="381"/>
      <c r="F150" s="384"/>
      <c r="G150" s="381"/>
      <c r="H150" s="415"/>
      <c r="I150" s="231"/>
      <c r="J150" s="557"/>
      <c r="K150" s="424"/>
      <c r="L150" s="425"/>
      <c r="M150" s="416"/>
      <c r="N150" s="3235" t="s">
        <v>2506</v>
      </c>
      <c r="O150" s="3228" t="s">
        <v>1576</v>
      </c>
      <c r="P150" s="3219" t="s">
        <v>1604</v>
      </c>
      <c r="Q150" s="3219" t="s">
        <v>357</v>
      </c>
      <c r="R150" s="3219" t="s">
        <v>434</v>
      </c>
      <c r="S150" s="3219" t="s">
        <v>434</v>
      </c>
      <c r="T150" s="3219" t="s">
        <v>324</v>
      </c>
      <c r="U150" s="446"/>
      <c r="V150" s="3217" t="s">
        <v>2501</v>
      </c>
    </row>
    <row r="151" spans="1:22" ht="36.6" hidden="1" customHeight="1">
      <c r="A151" s="3231"/>
      <c r="B151" s="3233"/>
      <c r="C151" s="3222"/>
      <c r="D151" s="420" t="s">
        <v>246</v>
      </c>
      <c r="E151" s="382"/>
      <c r="F151" s="386"/>
      <c r="G151" s="382"/>
      <c r="H151" s="416"/>
      <c r="I151" s="231"/>
      <c r="J151" s="557"/>
      <c r="K151" s="418"/>
      <c r="L151" s="417"/>
      <c r="M151" s="416"/>
      <c r="N151" s="3236"/>
      <c r="O151" s="3228"/>
      <c r="P151" s="3219"/>
      <c r="Q151" s="3219"/>
      <c r="R151" s="3219"/>
      <c r="S151" s="3219"/>
      <c r="T151" s="3219"/>
      <c r="U151" s="446"/>
      <c r="V151" s="3217"/>
    </row>
    <row r="152" spans="1:22" ht="56.25" hidden="1" customHeight="1">
      <c r="A152" s="3231"/>
      <c r="B152" s="3233"/>
      <c r="C152" s="3222"/>
      <c r="D152" s="421" t="s">
        <v>1076</v>
      </c>
      <c r="E152" s="383">
        <f>E150</f>
        <v>0</v>
      </c>
      <c r="F152" s="385"/>
      <c r="G152" s="383">
        <f t="shared" ref="G152:H152" si="54">G150</f>
        <v>0</v>
      </c>
      <c r="H152" s="419">
        <f t="shared" si="54"/>
        <v>0</v>
      </c>
      <c r="I152" s="224"/>
      <c r="J152" s="711"/>
      <c r="K152" s="419">
        <f>SUM(K150:K151)</f>
        <v>0</v>
      </c>
      <c r="L152" s="422">
        <f>SUM(L150:L151)</f>
        <v>0</v>
      </c>
      <c r="M152" s="419"/>
      <c r="N152" s="3236"/>
      <c r="O152" s="3229"/>
      <c r="P152" s="3220"/>
      <c r="Q152" s="3220"/>
      <c r="R152" s="3220"/>
      <c r="S152" s="3220"/>
      <c r="T152" s="3220"/>
      <c r="U152" s="446"/>
      <c r="V152" s="3217"/>
    </row>
    <row r="153" spans="1:22" ht="73.150000000000006" customHeight="1">
      <c r="A153" s="3224"/>
      <c r="B153" s="3224"/>
      <c r="C153" s="3224"/>
      <c r="D153" s="3224"/>
      <c r="E153" s="389" t="s">
        <v>1091</v>
      </c>
      <c r="F153" s="389"/>
      <c r="G153" s="389" t="str">
        <f>G14</f>
        <v>2024  m. išlaidų projektas (lėšų poreikis), tūkst. Eur</v>
      </c>
      <c r="H153" s="431" t="str">
        <f>H14</f>
        <v>2024  m. asignavimai ir kitos lėšos, tūkst. Eur</v>
      </c>
      <c r="I153" s="188" t="s">
        <v>3099</v>
      </c>
      <c r="J153" s="712" t="s">
        <v>3100</v>
      </c>
      <c r="K153" s="431" t="str">
        <f>K14</f>
        <v>2025 m. asignavimai ir kitos lėšos, tūkst. Eur</v>
      </c>
      <c r="L153" s="432" t="str">
        <f>L14</f>
        <v>2026 m. asignavimai ir kitos lėšos, tūkst. Eur</v>
      </c>
      <c r="M153" s="431" t="s">
        <v>3097</v>
      </c>
      <c r="N153" s="3178"/>
      <c r="O153" s="3178"/>
      <c r="P153" s="3178"/>
      <c r="Q153" s="3178"/>
      <c r="R153" s="3178"/>
      <c r="S153" s="3178"/>
      <c r="T153" s="3178"/>
      <c r="U153" s="3178"/>
      <c r="V153" s="3178"/>
    </row>
    <row r="154" spans="1:22" ht="29.45" customHeight="1">
      <c r="A154" s="3225"/>
      <c r="B154" s="3218" t="s">
        <v>722</v>
      </c>
      <c r="C154" s="3218"/>
      <c r="D154" s="3218"/>
      <c r="E154" s="390">
        <f>SUM(E155:E162)</f>
        <v>3793.1120000000005</v>
      </c>
      <c r="F154" s="391">
        <f t="shared" si="47"/>
        <v>0.12254449644513543</v>
      </c>
      <c r="G154" s="390">
        <f>SUM(G155,G158,G159,G160,G161,G162,)</f>
        <v>4580.246000000001</v>
      </c>
      <c r="H154" s="433">
        <f>SUM(H155,H158,H159,H160,H161,H162,)</f>
        <v>4257.9370000000008</v>
      </c>
      <c r="I154" s="239">
        <f>J154/H154-1</f>
        <v>5.1433358455045042E-2</v>
      </c>
      <c r="J154" s="668">
        <f t="shared" ref="J154" si="55">SUM(J155,J158,J159,J160,J161,J162,)</f>
        <v>4476.9369999999999</v>
      </c>
      <c r="K154" s="433">
        <f>SUM(K155,K158,K159,K160,K161,K162,)</f>
        <v>5170.3639999999996</v>
      </c>
      <c r="L154" s="433">
        <f t="shared" ref="L154:M154" si="56">SUM(L155,L158,L159,L160,L161,L162,)</f>
        <v>5668.4749999999995</v>
      </c>
      <c r="M154" s="436">
        <f t="shared" si="56"/>
        <v>4812.3369999999995</v>
      </c>
      <c r="N154" s="2240"/>
      <c r="O154" s="434"/>
      <c r="P154" s="434"/>
      <c r="Q154" s="434"/>
      <c r="R154" s="434"/>
      <c r="S154" s="434"/>
      <c r="T154" s="434"/>
      <c r="U154" s="434"/>
      <c r="V154" s="434"/>
    </row>
    <row r="155" spans="1:22" ht="46.9" customHeight="1">
      <c r="A155" s="3226"/>
      <c r="B155" s="3223" t="s">
        <v>2027</v>
      </c>
      <c r="C155" s="3223"/>
      <c r="D155" s="3223"/>
      <c r="E155" s="382">
        <f>SUM(E17,E21,E26,E28,E34,E43,E54,E60,E74,E77,E86,E90,E97,E104,E113,E141,E144,E150,E98,E87,E78,E61,E35,E18)</f>
        <v>3793.1120000000005</v>
      </c>
      <c r="F155" s="391">
        <f t="shared" si="47"/>
        <v>2.2624694446143456E-2</v>
      </c>
      <c r="G155" s="382">
        <f>SUM(G17,G21,G26,G28,G34,G43,G54,G60,G74,G77,G86,G90,G97,G104,G113,G141,G144,G150,)</f>
        <v>4580.246000000001</v>
      </c>
      <c r="H155" s="416">
        <f>SUM(H17,H21,H26,H28,H34,H43,H60,H74,H77,H86,H97,H104,H113,H141,H144,H150,H156)</f>
        <v>3878.9300000000003</v>
      </c>
      <c r="I155" s="510">
        <f t="shared" ref="I155:I165" si="57">J155/H155-1</f>
        <v>0.101335677622437</v>
      </c>
      <c r="J155" s="620">
        <f>SUM(J17,J21,J26,J28,J34,J43,J60,J74,J77,J86,J97,J104,J113,J141,J144,J150,J156)</f>
        <v>4272.0039999999999</v>
      </c>
      <c r="K155" s="416">
        <f>SUM(K17,K21,K26,K28,K34,K43,K60,K74,K77,K86,K97,K104,K113,K141,K144,K150,K156,K31,K55,K109,K131,K157)</f>
        <v>4422.2699999999995</v>
      </c>
      <c r="L155" s="416">
        <f>SUM(L17,L21,L26,L28,L34,L43,L60,L74,L77,L86,L97,L104,L113,L141,L144,L150,L156,L31,L55,L109,L131,L157)</f>
        <v>4605.6899999999996</v>
      </c>
      <c r="M155" s="416">
        <f t="shared" ref="M155" si="58">SUM(M17,M21,M26,M28,M34,M43,M60,M74,M77,M86,M97,M104,M113,M141,M144,M150,M156,M31,M55,M109,M131,M157)</f>
        <v>4511.53</v>
      </c>
      <c r="N155" s="2241"/>
      <c r="O155" s="434"/>
      <c r="P155" s="434"/>
      <c r="Q155" s="434"/>
      <c r="R155" s="434"/>
      <c r="S155" s="434"/>
      <c r="T155" s="434"/>
      <c r="U155" s="434"/>
      <c r="V155" s="434"/>
    </row>
    <row r="156" spans="1:22" ht="36.6" hidden="1" customHeight="1">
      <c r="A156" s="3226"/>
      <c r="B156" s="2581" t="s">
        <v>3923</v>
      </c>
      <c r="C156" s="2582"/>
      <c r="D156" s="2583"/>
      <c r="E156" s="514"/>
      <c r="F156" s="895"/>
      <c r="G156" s="514"/>
      <c r="H156" s="513">
        <f>SUM(H61,H35,H18,H98,H87,H78,)</f>
        <v>46.9</v>
      </c>
      <c r="I156" s="666">
        <f t="shared" si="57"/>
        <v>-1</v>
      </c>
      <c r="J156" s="513"/>
      <c r="K156" s="896">
        <f>SUM(K18,K35,K61,K78,K98,K87,K45,)</f>
        <v>50.099999999999994</v>
      </c>
      <c r="L156" s="896">
        <f>SUM(L18,L35,L61,L78,L98,L87,L45,)</f>
        <v>46.800000000000004</v>
      </c>
      <c r="M156" s="896">
        <f>SUM(M18,M35,M61,M78,M98,M87,M45,)</f>
        <v>46.800000000000004</v>
      </c>
      <c r="N156" s="2241"/>
      <c r="O156" s="434"/>
      <c r="P156" s="434"/>
      <c r="Q156" s="434"/>
      <c r="R156" s="434"/>
      <c r="S156" s="434"/>
      <c r="T156" s="434"/>
      <c r="U156" s="434"/>
      <c r="V156" s="434"/>
    </row>
    <row r="157" spans="1:22" ht="36.6" hidden="1" customHeight="1">
      <c r="A157" s="3226"/>
      <c r="B157" s="2581" t="s">
        <v>3922</v>
      </c>
      <c r="C157" s="2582"/>
      <c r="D157" s="2583"/>
      <c r="E157" s="514"/>
      <c r="F157" s="895"/>
      <c r="G157" s="514"/>
      <c r="H157" s="513"/>
      <c r="I157" s="666"/>
      <c r="J157" s="513"/>
      <c r="K157" s="513">
        <f>SUM(K19,K36,K62,K79,K88,K99,K46,)</f>
        <v>52.92</v>
      </c>
      <c r="L157" s="513">
        <f t="shared" ref="L157:M157" si="59">SUM(L19,L36,L62,L79,L88,L99,L46,)</f>
        <v>0</v>
      </c>
      <c r="M157" s="513">
        <f t="shared" si="59"/>
        <v>0</v>
      </c>
      <c r="N157" s="2241"/>
      <c r="O157" s="434"/>
      <c r="P157" s="434"/>
      <c r="Q157" s="434"/>
      <c r="R157" s="434"/>
      <c r="S157" s="434"/>
      <c r="T157" s="434"/>
      <c r="U157" s="434"/>
      <c r="V157" s="434"/>
    </row>
    <row r="158" spans="1:22" ht="25.15" customHeight="1">
      <c r="A158" s="3226"/>
      <c r="B158" s="3223" t="s">
        <v>724</v>
      </c>
      <c r="C158" s="3223"/>
      <c r="D158" s="3223"/>
      <c r="E158" s="382">
        <v>0</v>
      </c>
      <c r="F158" s="391"/>
      <c r="G158" s="382">
        <v>0</v>
      </c>
      <c r="H158" s="416">
        <f>H29</f>
        <v>12.686</v>
      </c>
      <c r="I158" s="510">
        <f t="shared" si="57"/>
        <v>-1</v>
      </c>
      <c r="J158" s="620">
        <f>J29</f>
        <v>0</v>
      </c>
      <c r="K158" s="416">
        <f>K29</f>
        <v>0</v>
      </c>
      <c r="L158" s="416">
        <f>L29</f>
        <v>0</v>
      </c>
      <c r="M158" s="416">
        <f>M29</f>
        <v>0</v>
      </c>
      <c r="N158" s="2242"/>
      <c r="O158" s="434"/>
      <c r="P158" s="434"/>
      <c r="Q158" s="434"/>
      <c r="R158" s="434"/>
      <c r="S158" s="434"/>
      <c r="T158" s="434"/>
      <c r="U158" s="434"/>
      <c r="V158" s="434"/>
    </row>
    <row r="159" spans="1:22" ht="25.5" customHeight="1">
      <c r="A159" s="3226"/>
      <c r="B159" s="3223" t="s">
        <v>725</v>
      </c>
      <c r="C159" s="3223"/>
      <c r="D159" s="3223"/>
      <c r="E159" s="382">
        <v>0</v>
      </c>
      <c r="F159" s="391"/>
      <c r="G159" s="382">
        <v>0</v>
      </c>
      <c r="H159" s="416">
        <v>0</v>
      </c>
      <c r="I159" s="510">
        <v>0</v>
      </c>
      <c r="J159" s="620">
        <v>0</v>
      </c>
      <c r="K159" s="416">
        <v>0</v>
      </c>
      <c r="L159" s="416">
        <v>0</v>
      </c>
      <c r="M159" s="416">
        <v>0</v>
      </c>
      <c r="N159" s="2242"/>
      <c r="O159" s="434"/>
      <c r="P159" s="434"/>
      <c r="Q159" s="434"/>
      <c r="R159" s="434"/>
      <c r="S159" s="434"/>
      <c r="T159" s="434"/>
      <c r="U159" s="434"/>
      <c r="V159" s="434"/>
    </row>
    <row r="160" spans="1:22" ht="29.45" customHeight="1">
      <c r="A160" s="3226"/>
      <c r="B160" s="3223" t="s">
        <v>2861</v>
      </c>
      <c r="C160" s="3223"/>
      <c r="D160" s="3223"/>
      <c r="E160" s="382">
        <v>0</v>
      </c>
      <c r="F160" s="391"/>
      <c r="G160" s="382">
        <f>SUM(G106,G56,)</f>
        <v>0</v>
      </c>
      <c r="H160" s="416">
        <f>SUM(H106,H56,)</f>
        <v>0</v>
      </c>
      <c r="I160" s="510" t="e">
        <f t="shared" si="57"/>
        <v>#DIV/0!</v>
      </c>
      <c r="J160" s="620">
        <f>SUM(J106,J56,)</f>
        <v>196.38499999999999</v>
      </c>
      <c r="K160" s="416">
        <f>SUM(K106,K56,K110,)</f>
        <v>497.19299999999998</v>
      </c>
      <c r="L160" s="416">
        <f t="shared" ref="L160:M160" si="60">SUM(L106,L56,L110,)</f>
        <v>1038.731</v>
      </c>
      <c r="M160" s="416">
        <f t="shared" si="60"/>
        <v>300.80700000000002</v>
      </c>
      <c r="N160" s="2242"/>
      <c r="O160" s="434"/>
      <c r="P160" s="434"/>
      <c r="Q160" s="434"/>
      <c r="R160" s="434"/>
      <c r="S160" s="434"/>
      <c r="T160" s="434"/>
      <c r="U160" s="434"/>
      <c r="V160" s="434"/>
    </row>
    <row r="161" spans="1:22" ht="26.25" customHeight="1">
      <c r="A161" s="3226"/>
      <c r="B161" s="3223" t="s">
        <v>726</v>
      </c>
      <c r="C161" s="3223"/>
      <c r="D161" s="3223"/>
      <c r="E161" s="382">
        <v>0</v>
      </c>
      <c r="F161" s="391"/>
      <c r="G161" s="382">
        <v>0</v>
      </c>
      <c r="H161" s="416">
        <v>0</v>
      </c>
      <c r="I161" s="510" t="e">
        <f t="shared" si="57"/>
        <v>#DIV/0!</v>
      </c>
      <c r="J161" s="620">
        <v>0</v>
      </c>
      <c r="K161" s="416">
        <f>SUM(K58)</f>
        <v>0</v>
      </c>
      <c r="L161" s="416">
        <f t="shared" ref="L161:M161" si="61">SUM(L58)</f>
        <v>24.053999999999998</v>
      </c>
      <c r="M161" s="416">
        <f t="shared" si="61"/>
        <v>0</v>
      </c>
      <c r="N161" s="2242"/>
      <c r="O161" s="434"/>
      <c r="P161" s="434"/>
      <c r="Q161" s="434"/>
      <c r="R161" s="434"/>
      <c r="S161" s="434"/>
      <c r="T161" s="434"/>
      <c r="U161" s="434"/>
      <c r="V161" s="434"/>
    </row>
    <row r="162" spans="1:22" ht="27" customHeight="1">
      <c r="A162" s="3226"/>
      <c r="B162" s="3223" t="s">
        <v>727</v>
      </c>
      <c r="C162" s="3223"/>
      <c r="D162" s="3223"/>
      <c r="E162" s="382">
        <v>0</v>
      </c>
      <c r="F162" s="391"/>
      <c r="G162" s="382">
        <v>0</v>
      </c>
      <c r="H162" s="416">
        <f>SUM(H54,H90,H108,H19,H88,H36)</f>
        <v>366.32099999999997</v>
      </c>
      <c r="I162" s="510">
        <f t="shared" si="57"/>
        <v>-0.97666527444509055</v>
      </c>
      <c r="J162" s="620">
        <f>SUM(J54,J90,J108,J19,J88,J36)</f>
        <v>8.548</v>
      </c>
      <c r="K162" s="416">
        <f>SUM(K54,K90,K105,K108,K44)</f>
        <v>250.90100000000001</v>
      </c>
      <c r="L162" s="416">
        <f t="shared" ref="L162:M162" si="62">SUM(L54,L90,L105,L108,L44)</f>
        <v>0</v>
      </c>
      <c r="M162" s="416">
        <f t="shared" si="62"/>
        <v>0</v>
      </c>
      <c r="N162" s="2242"/>
      <c r="O162" s="434"/>
      <c r="P162" s="434"/>
      <c r="Q162" s="434"/>
      <c r="R162" s="434"/>
      <c r="S162" s="434"/>
      <c r="T162" s="434"/>
      <c r="U162" s="434"/>
      <c r="V162" s="434"/>
    </row>
    <row r="163" spans="1:22" ht="36" customHeight="1">
      <c r="A163" s="3226"/>
      <c r="B163" s="3218" t="s">
        <v>728</v>
      </c>
      <c r="C163" s="3218"/>
      <c r="D163" s="3218"/>
      <c r="E163" s="393">
        <v>164.13300000000001</v>
      </c>
      <c r="F163" s="394">
        <f t="shared" si="47"/>
        <v>-0.13869849451359573</v>
      </c>
      <c r="G163" s="395"/>
      <c r="H163" s="435">
        <f>H91</f>
        <v>141.36799999999999</v>
      </c>
      <c r="I163" s="765">
        <f t="shared" si="57"/>
        <v>-1</v>
      </c>
      <c r="J163" s="714">
        <f>J91</f>
        <v>0</v>
      </c>
      <c r="K163" s="435">
        <f>K91</f>
        <v>0</v>
      </c>
      <c r="L163" s="435">
        <f>L91</f>
        <v>0</v>
      </c>
      <c r="M163" s="435">
        <f>M91</f>
        <v>0</v>
      </c>
      <c r="N163" s="2242"/>
      <c r="O163" s="434"/>
      <c r="P163" s="434"/>
      <c r="Q163" s="434"/>
      <c r="R163" s="434"/>
      <c r="S163" s="434"/>
      <c r="T163" s="434"/>
      <c r="U163" s="434"/>
      <c r="V163" s="434"/>
    </row>
    <row r="164" spans="1:22" ht="29.45" customHeight="1">
      <c r="A164" s="3226"/>
      <c r="B164" s="3218" t="s">
        <v>1092</v>
      </c>
      <c r="C164" s="3218"/>
      <c r="D164" s="3218"/>
      <c r="E164" s="396">
        <f>SUM(E154,E163)</f>
        <v>3957.2450000000003</v>
      </c>
      <c r="F164" s="397">
        <f t="shared" si="47"/>
        <v>0.11170902989327192</v>
      </c>
      <c r="G164" s="398">
        <f>G154+G163</f>
        <v>4580.246000000001</v>
      </c>
      <c r="H164" s="436">
        <f>H154+H163</f>
        <v>4399.3050000000012</v>
      </c>
      <c r="I164" s="357">
        <f t="shared" si="57"/>
        <v>1.7646423696469959E-2</v>
      </c>
      <c r="J164" s="669">
        <f t="shared" ref="J164" si="63">J154+J163</f>
        <v>4476.9369999999999</v>
      </c>
      <c r="K164" s="436">
        <f>K154+K163</f>
        <v>5170.3639999999996</v>
      </c>
      <c r="L164" s="436">
        <f t="shared" ref="L164:M164" si="64">L154+L163</f>
        <v>5668.4749999999995</v>
      </c>
      <c r="M164" s="436">
        <f t="shared" si="64"/>
        <v>4812.3369999999995</v>
      </c>
      <c r="N164" s="2240"/>
      <c r="O164" s="434"/>
      <c r="P164" s="434"/>
      <c r="Q164" s="434"/>
      <c r="R164" s="434"/>
      <c r="S164" s="434"/>
      <c r="T164" s="434"/>
      <c r="U164" s="434"/>
      <c r="V164" s="434"/>
    </row>
    <row r="165" spans="1:22" ht="25.5" customHeight="1">
      <c r="A165" s="3226"/>
      <c r="B165" s="3218" t="s">
        <v>2028</v>
      </c>
      <c r="C165" s="3218"/>
      <c r="D165" s="3218"/>
      <c r="E165" s="390">
        <v>0</v>
      </c>
      <c r="F165" s="392"/>
      <c r="G165" s="390">
        <f>SUM(G152,G107,G59)</f>
        <v>120.605</v>
      </c>
      <c r="H165" s="433">
        <f>SUM(H152,H107,H59,H111)</f>
        <v>236.03700000000001</v>
      </c>
      <c r="I165" s="239">
        <f t="shared" si="57"/>
        <v>1.4781453755131611</v>
      </c>
      <c r="J165" s="668">
        <f>SUM(J152,J107,J59,J111)</f>
        <v>584.93399999999997</v>
      </c>
      <c r="K165" s="433">
        <f>SUM(K152,K107,K59,K111)</f>
        <v>584.93399999999997</v>
      </c>
      <c r="L165" s="433">
        <f t="shared" ref="L165:M165" si="65">SUM(L152,L107,L59,L111)</f>
        <v>1062.7850000000001</v>
      </c>
      <c r="M165" s="433">
        <f t="shared" si="65"/>
        <v>300.80700000000002</v>
      </c>
      <c r="N165" s="2240"/>
      <c r="O165" s="434"/>
      <c r="P165" s="434"/>
      <c r="Q165" s="434"/>
      <c r="R165" s="434"/>
      <c r="S165" s="434"/>
      <c r="T165" s="434"/>
      <c r="U165" s="434"/>
      <c r="V165" s="434"/>
    </row>
    <row r="166" spans="1:22" ht="40.9" customHeight="1">
      <c r="A166" s="3227"/>
      <c r="B166" s="3218" t="s">
        <v>729</v>
      </c>
      <c r="C166" s="3218"/>
      <c r="D166" s="3218"/>
      <c r="E166" s="390">
        <v>0</v>
      </c>
      <c r="F166" s="392"/>
      <c r="G166" s="390">
        <v>0</v>
      </c>
      <c r="H166" s="437">
        <f>H164/E164-1</f>
        <v>0.11170902989327192</v>
      </c>
      <c r="I166" s="336"/>
      <c r="J166" s="715"/>
      <c r="K166" s="437">
        <f>K164/H164-1</f>
        <v>0.17526836625330544</v>
      </c>
      <c r="L166" s="437">
        <f>L164/K164-1</f>
        <v>9.6339638756574919E-2</v>
      </c>
      <c r="M166" s="437">
        <f>M164/L164-1</f>
        <v>-0.15103497854361181</v>
      </c>
      <c r="N166" s="2240"/>
      <c r="O166" s="434"/>
      <c r="P166" s="434"/>
      <c r="Q166" s="434"/>
      <c r="R166" s="434"/>
      <c r="S166" s="434"/>
      <c r="T166" s="434"/>
      <c r="U166" s="434"/>
      <c r="V166" s="434"/>
    </row>
    <row r="167" spans="1:22">
      <c r="E167" s="409"/>
      <c r="F167" s="409"/>
    </row>
    <row r="168" spans="1:22" ht="23.25" hidden="1" customHeight="1">
      <c r="B168" s="438"/>
      <c r="C168" s="438"/>
      <c r="D168" s="438"/>
      <c r="E168" s="924"/>
      <c r="F168" s="924"/>
      <c r="G168" s="924"/>
      <c r="H168" s="924"/>
      <c r="I168" s="924"/>
      <c r="J168" s="924" t="s">
        <v>4065</v>
      </c>
      <c r="K168" s="924">
        <v>4570.1509999999998</v>
      </c>
      <c r="L168" s="924"/>
      <c r="M168" s="438"/>
      <c r="N168" s="2243"/>
    </row>
    <row r="169" spans="1:22" hidden="1">
      <c r="E169" s="409"/>
      <c r="F169" s="409"/>
      <c r="H169" s="439"/>
      <c r="I169" s="378"/>
      <c r="J169" s="557"/>
      <c r="K169" s="925">
        <f>K168-K155-K161-K162</f>
        <v>-103.0199999999997</v>
      </c>
    </row>
    <row r="170" spans="1:22" hidden="1">
      <c r="E170" s="409"/>
      <c r="F170" s="409"/>
      <c r="H170" s="439"/>
      <c r="I170" s="378"/>
      <c r="J170" s="557"/>
    </row>
    <row r="171" spans="1:22" hidden="1">
      <c r="E171" s="409"/>
      <c r="F171" s="409"/>
      <c r="H171" s="439"/>
      <c r="I171" s="378"/>
      <c r="J171" s="557"/>
      <c r="K171" s="409">
        <v>4673.1710000000003</v>
      </c>
      <c r="L171" s="409">
        <v>5668.4750000000004</v>
      </c>
      <c r="M171" s="409">
        <v>4812.3370000000004</v>
      </c>
    </row>
    <row r="172" spans="1:22" hidden="1">
      <c r="E172" s="409"/>
      <c r="F172" s="409"/>
      <c r="J172" s="1210" t="s">
        <v>246</v>
      </c>
      <c r="K172" s="1211">
        <f>K164-K171</f>
        <v>497.1929999999993</v>
      </c>
      <c r="L172" s="439">
        <f>L164-L171</f>
        <v>0</v>
      </c>
      <c r="M172" s="439">
        <f>M164-M171</f>
        <v>0</v>
      </c>
    </row>
    <row r="173" spans="1:22" hidden="1">
      <c r="E173" s="409"/>
      <c r="F173" s="409"/>
      <c r="G173" s="439"/>
    </row>
    <row r="174" spans="1:22" hidden="1">
      <c r="E174" s="409"/>
      <c r="F174" s="409"/>
      <c r="G174" s="439"/>
    </row>
    <row r="175" spans="1:22" hidden="1">
      <c r="E175" s="409"/>
      <c r="F175" s="409"/>
      <c r="G175" s="439"/>
    </row>
    <row r="176" spans="1:22">
      <c r="E176" s="409"/>
      <c r="F176" s="409"/>
      <c r="G176" s="439"/>
    </row>
    <row r="177" spans="5:6">
      <c r="E177" s="409"/>
      <c r="F177" s="409"/>
    </row>
    <row r="178" spans="5:6">
      <c r="E178" s="409"/>
      <c r="F178" s="409"/>
    </row>
    <row r="179" spans="5:6">
      <c r="E179" s="409"/>
      <c r="F179" s="409"/>
    </row>
    <row r="180" spans="5:6">
      <c r="E180" s="409"/>
      <c r="F180" s="409"/>
    </row>
    <row r="181" spans="5:6">
      <c r="E181" s="409"/>
      <c r="F181" s="409"/>
    </row>
    <row r="182" spans="5:6">
      <c r="E182" s="409"/>
      <c r="F182" s="409"/>
    </row>
    <row r="183" spans="5:6">
      <c r="E183" s="409"/>
      <c r="F183" s="409"/>
    </row>
    <row r="184" spans="5:6">
      <c r="E184" s="409"/>
      <c r="F184" s="409"/>
    </row>
    <row r="185" spans="5:6">
      <c r="E185" s="409"/>
      <c r="F185" s="409"/>
    </row>
    <row r="186" spans="5:6">
      <c r="E186" s="409"/>
      <c r="F186" s="409"/>
    </row>
    <row r="187" spans="5:6">
      <c r="E187" s="409"/>
      <c r="F187" s="409"/>
    </row>
    <row r="188" spans="5:6">
      <c r="E188" s="409"/>
      <c r="F188" s="409"/>
    </row>
    <row r="189" spans="5:6">
      <c r="E189" s="409"/>
      <c r="F189" s="409"/>
    </row>
    <row r="190" spans="5:6">
      <c r="E190" s="409"/>
      <c r="F190" s="409"/>
    </row>
    <row r="191" spans="5:6">
      <c r="E191" s="409"/>
      <c r="F191" s="409"/>
    </row>
    <row r="192" spans="5:6">
      <c r="E192" s="409"/>
      <c r="F192" s="409"/>
    </row>
    <row r="193" spans="5:6">
      <c r="E193" s="409"/>
      <c r="F193" s="409"/>
    </row>
    <row r="194" spans="5:6">
      <c r="E194" s="409"/>
      <c r="F194" s="409"/>
    </row>
    <row r="195" spans="5:6">
      <c r="E195" s="409"/>
      <c r="F195" s="409"/>
    </row>
    <row r="196" spans="5:6">
      <c r="E196" s="409"/>
      <c r="F196" s="409"/>
    </row>
    <row r="197" spans="5:6">
      <c r="E197" s="409"/>
      <c r="F197" s="409"/>
    </row>
    <row r="198" spans="5:6">
      <c r="E198" s="409"/>
      <c r="F198" s="409"/>
    </row>
    <row r="199" spans="5:6">
      <c r="E199" s="409"/>
      <c r="F199" s="409"/>
    </row>
    <row r="200" spans="5:6">
      <c r="E200" s="409"/>
      <c r="F200" s="409"/>
    </row>
    <row r="201" spans="5:6">
      <c r="E201" s="409"/>
      <c r="F201" s="409"/>
    </row>
    <row r="202" spans="5:6">
      <c r="E202" s="409"/>
      <c r="F202" s="409"/>
    </row>
    <row r="203" spans="5:6">
      <c r="E203" s="409"/>
      <c r="F203" s="409"/>
    </row>
    <row r="204" spans="5:6">
      <c r="E204" s="409"/>
      <c r="F204" s="409"/>
    </row>
    <row r="205" spans="5:6">
      <c r="E205" s="409"/>
      <c r="F205" s="409"/>
    </row>
    <row r="206" spans="5:6">
      <c r="E206" s="409"/>
      <c r="F206" s="409"/>
    </row>
    <row r="207" spans="5:6">
      <c r="E207" s="409"/>
      <c r="F207" s="409"/>
    </row>
    <row r="208" spans="5:6">
      <c r="E208" s="409"/>
      <c r="F208" s="409"/>
    </row>
    <row r="209" spans="5:6">
      <c r="E209" s="409"/>
      <c r="F209" s="409"/>
    </row>
    <row r="210" spans="5:6">
      <c r="E210" s="409"/>
      <c r="F210" s="409"/>
    </row>
    <row r="211" spans="5:6">
      <c r="E211" s="409"/>
      <c r="F211" s="409"/>
    </row>
    <row r="212" spans="5:6">
      <c r="E212" s="409"/>
      <c r="F212" s="409"/>
    </row>
    <row r="213" spans="5:6">
      <c r="E213" s="409"/>
      <c r="F213" s="409"/>
    </row>
    <row r="214" spans="5:6">
      <c r="E214" s="409"/>
      <c r="F214" s="409"/>
    </row>
    <row r="215" spans="5:6">
      <c r="E215" s="409"/>
      <c r="F215" s="409"/>
    </row>
    <row r="216" spans="5:6">
      <c r="E216" s="409"/>
      <c r="F216" s="409"/>
    </row>
    <row r="217" spans="5:6">
      <c r="E217" s="409"/>
      <c r="F217" s="409"/>
    </row>
    <row r="218" spans="5:6">
      <c r="E218" s="409"/>
      <c r="F218" s="409"/>
    </row>
    <row r="219" spans="5:6">
      <c r="E219" s="409"/>
      <c r="F219" s="409"/>
    </row>
    <row r="220" spans="5:6">
      <c r="E220" s="409"/>
      <c r="F220" s="409"/>
    </row>
    <row r="221" spans="5:6">
      <c r="E221" s="409"/>
      <c r="F221" s="409"/>
    </row>
    <row r="222" spans="5:6">
      <c r="E222" s="409"/>
      <c r="F222" s="409"/>
    </row>
    <row r="223" spans="5:6">
      <c r="E223" s="409"/>
      <c r="F223" s="409"/>
    </row>
    <row r="224" spans="5:6">
      <c r="E224" s="409"/>
      <c r="F224" s="409"/>
    </row>
    <row r="225" spans="5:6">
      <c r="E225" s="409"/>
      <c r="F225" s="409"/>
    </row>
    <row r="226" spans="5:6">
      <c r="E226" s="409"/>
      <c r="F226" s="409"/>
    </row>
    <row r="227" spans="5:6">
      <c r="E227" s="409"/>
      <c r="F227" s="409"/>
    </row>
    <row r="228" spans="5:6">
      <c r="E228" s="409"/>
      <c r="F228" s="409"/>
    </row>
    <row r="229" spans="5:6">
      <c r="E229" s="409"/>
      <c r="F229" s="409"/>
    </row>
    <row r="230" spans="5:6">
      <c r="E230" s="409"/>
      <c r="F230" s="409"/>
    </row>
    <row r="231" spans="5:6">
      <c r="E231" s="409"/>
      <c r="F231" s="409"/>
    </row>
    <row r="232" spans="5:6">
      <c r="E232" s="409"/>
      <c r="F232" s="409"/>
    </row>
    <row r="233" spans="5:6">
      <c r="E233" s="409"/>
      <c r="F233" s="409"/>
    </row>
    <row r="234" spans="5:6">
      <c r="E234" s="409"/>
      <c r="F234" s="409"/>
    </row>
    <row r="235" spans="5:6">
      <c r="E235" s="409"/>
      <c r="F235" s="409"/>
    </row>
    <row r="236" spans="5:6">
      <c r="E236" s="409"/>
      <c r="F236" s="409"/>
    </row>
    <row r="237" spans="5:6">
      <c r="E237" s="409"/>
      <c r="F237" s="409"/>
    </row>
    <row r="238" spans="5:6">
      <c r="E238" s="409"/>
      <c r="F238" s="409"/>
    </row>
    <row r="239" spans="5:6">
      <c r="E239" s="409"/>
      <c r="F239" s="409"/>
    </row>
    <row r="240" spans="5:6">
      <c r="E240" s="409"/>
      <c r="F240" s="409"/>
    </row>
    <row r="241" spans="5:6">
      <c r="E241" s="409"/>
      <c r="F241" s="409"/>
    </row>
    <row r="242" spans="5:6">
      <c r="E242" s="409"/>
      <c r="F242" s="409"/>
    </row>
    <row r="243" spans="5:6">
      <c r="E243" s="409"/>
      <c r="F243" s="409"/>
    </row>
    <row r="244" spans="5:6">
      <c r="E244" s="409"/>
      <c r="F244" s="409"/>
    </row>
    <row r="245" spans="5:6">
      <c r="E245" s="409"/>
      <c r="F245" s="409"/>
    </row>
    <row r="246" spans="5:6">
      <c r="E246" s="409"/>
      <c r="F246" s="409"/>
    </row>
    <row r="247" spans="5:6">
      <c r="E247" s="409"/>
      <c r="F247" s="409"/>
    </row>
    <row r="248" spans="5:6">
      <c r="E248" s="409"/>
      <c r="F248" s="409"/>
    </row>
    <row r="249" spans="5:6">
      <c r="E249" s="409"/>
      <c r="F249" s="409"/>
    </row>
    <row r="250" spans="5:6">
      <c r="E250" s="409"/>
      <c r="F250" s="409"/>
    </row>
    <row r="251" spans="5:6">
      <c r="E251" s="409"/>
      <c r="F251" s="409"/>
    </row>
    <row r="252" spans="5:6">
      <c r="E252" s="409"/>
      <c r="F252" s="409"/>
    </row>
    <row r="253" spans="5:6">
      <c r="E253" s="409"/>
      <c r="F253" s="409"/>
    </row>
    <row r="254" spans="5:6">
      <c r="E254" s="409"/>
      <c r="F254" s="409"/>
    </row>
    <row r="255" spans="5:6">
      <c r="E255" s="409"/>
      <c r="F255" s="409"/>
    </row>
    <row r="256" spans="5:6">
      <c r="E256" s="409"/>
      <c r="F256" s="409"/>
    </row>
    <row r="257" spans="5:6">
      <c r="E257" s="409"/>
      <c r="F257" s="409"/>
    </row>
    <row r="258" spans="5:6">
      <c r="E258" s="409"/>
      <c r="F258" s="409"/>
    </row>
    <row r="259" spans="5:6">
      <c r="E259" s="409"/>
      <c r="F259" s="409"/>
    </row>
    <row r="260" spans="5:6">
      <c r="E260" s="409"/>
      <c r="F260" s="409"/>
    </row>
    <row r="261" spans="5:6">
      <c r="E261" s="409"/>
      <c r="F261" s="409"/>
    </row>
    <row r="262" spans="5:6">
      <c r="E262" s="409"/>
      <c r="F262" s="409"/>
    </row>
    <row r="263" spans="5:6">
      <c r="E263" s="409"/>
      <c r="F263" s="409"/>
    </row>
    <row r="264" spans="5:6">
      <c r="E264" s="409"/>
      <c r="F264" s="409"/>
    </row>
    <row r="265" spans="5:6">
      <c r="E265" s="409"/>
      <c r="F265" s="409"/>
    </row>
    <row r="266" spans="5:6">
      <c r="E266" s="409"/>
      <c r="F266" s="409"/>
    </row>
    <row r="267" spans="5:6">
      <c r="E267" s="409"/>
      <c r="F267" s="409"/>
    </row>
    <row r="268" spans="5:6">
      <c r="E268" s="409"/>
      <c r="F268" s="409"/>
    </row>
    <row r="269" spans="5:6">
      <c r="E269" s="409"/>
      <c r="F269" s="409"/>
    </row>
    <row r="270" spans="5:6">
      <c r="E270" s="409"/>
      <c r="F270" s="409"/>
    </row>
    <row r="271" spans="5:6">
      <c r="E271" s="409"/>
      <c r="F271" s="409"/>
    </row>
    <row r="272" spans="5:6">
      <c r="E272" s="409"/>
      <c r="F272" s="409"/>
    </row>
    <row r="273" spans="5:6">
      <c r="E273" s="409"/>
      <c r="F273" s="409"/>
    </row>
    <row r="274" spans="5:6">
      <c r="E274" s="409"/>
      <c r="F274" s="409"/>
    </row>
    <row r="275" spans="5:6">
      <c r="E275" s="409"/>
      <c r="F275" s="409"/>
    </row>
    <row r="276" spans="5:6">
      <c r="E276" s="409"/>
      <c r="F276" s="409"/>
    </row>
    <row r="277" spans="5:6">
      <c r="E277" s="409"/>
      <c r="F277" s="409"/>
    </row>
    <row r="278" spans="5:6">
      <c r="E278" s="409"/>
      <c r="F278" s="409"/>
    </row>
    <row r="279" spans="5:6">
      <c r="E279" s="409"/>
      <c r="F279" s="409"/>
    </row>
    <row r="280" spans="5:6">
      <c r="E280" s="409"/>
      <c r="F280" s="409"/>
    </row>
    <row r="281" spans="5:6">
      <c r="E281" s="409"/>
      <c r="F281" s="409"/>
    </row>
    <row r="282" spans="5:6">
      <c r="E282" s="409"/>
      <c r="F282" s="409"/>
    </row>
    <row r="283" spans="5:6">
      <c r="E283" s="409"/>
      <c r="F283" s="409"/>
    </row>
    <row r="284" spans="5:6">
      <c r="E284" s="409"/>
      <c r="F284" s="409"/>
    </row>
    <row r="285" spans="5:6">
      <c r="E285" s="409"/>
      <c r="F285" s="409"/>
    </row>
    <row r="286" spans="5:6">
      <c r="E286" s="409"/>
      <c r="F286" s="409"/>
    </row>
    <row r="287" spans="5:6">
      <c r="E287" s="409"/>
      <c r="F287" s="409"/>
    </row>
    <row r="288" spans="5:6">
      <c r="E288" s="409"/>
      <c r="F288" s="409"/>
    </row>
    <row r="289" spans="5:6">
      <c r="E289" s="409"/>
      <c r="F289" s="409"/>
    </row>
    <row r="290" spans="5:6">
      <c r="E290" s="409"/>
      <c r="F290" s="409"/>
    </row>
    <row r="291" spans="5:6">
      <c r="E291" s="409"/>
      <c r="F291" s="409"/>
    </row>
    <row r="292" spans="5:6">
      <c r="E292" s="409"/>
      <c r="F292" s="409"/>
    </row>
    <row r="293" spans="5:6">
      <c r="E293" s="409"/>
      <c r="F293" s="409"/>
    </row>
    <row r="294" spans="5:6">
      <c r="E294" s="409"/>
      <c r="F294" s="409"/>
    </row>
    <row r="295" spans="5:6">
      <c r="E295" s="409"/>
      <c r="F295" s="409"/>
    </row>
    <row r="296" spans="5:6">
      <c r="E296" s="409"/>
      <c r="F296" s="409"/>
    </row>
    <row r="297" spans="5:6">
      <c r="E297" s="409"/>
      <c r="F297" s="409"/>
    </row>
    <row r="298" spans="5:6">
      <c r="E298" s="409"/>
      <c r="F298" s="409"/>
    </row>
    <row r="299" spans="5:6">
      <c r="E299" s="409"/>
      <c r="F299" s="409"/>
    </row>
    <row r="300" spans="5:6">
      <c r="E300" s="409"/>
      <c r="F300" s="409"/>
    </row>
    <row r="301" spans="5:6">
      <c r="E301" s="409"/>
      <c r="F301" s="409"/>
    </row>
    <row r="302" spans="5:6">
      <c r="E302" s="409"/>
      <c r="F302" s="409"/>
    </row>
    <row r="303" spans="5:6">
      <c r="E303" s="409"/>
      <c r="F303" s="409"/>
    </row>
    <row r="304" spans="5:6">
      <c r="E304" s="409"/>
      <c r="F304" s="409"/>
    </row>
    <row r="305" spans="5:6">
      <c r="E305" s="409"/>
      <c r="F305" s="409"/>
    </row>
    <row r="306" spans="5:6">
      <c r="E306" s="409"/>
      <c r="F306" s="409"/>
    </row>
    <row r="307" spans="5:6">
      <c r="E307" s="409"/>
      <c r="F307" s="409"/>
    </row>
    <row r="308" spans="5:6">
      <c r="E308" s="409"/>
      <c r="F308" s="409"/>
    </row>
    <row r="309" spans="5:6">
      <c r="E309" s="409"/>
      <c r="F309" s="409"/>
    </row>
    <row r="310" spans="5:6">
      <c r="E310" s="409"/>
      <c r="F310" s="409"/>
    </row>
    <row r="311" spans="5:6">
      <c r="E311" s="409"/>
      <c r="F311" s="409"/>
    </row>
    <row r="312" spans="5:6">
      <c r="E312" s="409"/>
      <c r="F312" s="409"/>
    </row>
    <row r="313" spans="5:6">
      <c r="E313" s="409"/>
      <c r="F313" s="409"/>
    </row>
    <row r="314" spans="5:6">
      <c r="E314" s="409"/>
      <c r="F314" s="409"/>
    </row>
    <row r="315" spans="5:6">
      <c r="E315" s="409"/>
      <c r="F315" s="409"/>
    </row>
    <row r="316" spans="5:6">
      <c r="E316" s="409"/>
      <c r="F316" s="409"/>
    </row>
    <row r="317" spans="5:6">
      <c r="E317" s="409"/>
      <c r="F317" s="409"/>
    </row>
    <row r="318" spans="5:6">
      <c r="E318" s="409"/>
      <c r="F318" s="409"/>
    </row>
    <row r="319" spans="5:6">
      <c r="E319" s="409"/>
      <c r="F319" s="409"/>
    </row>
    <row r="320" spans="5:6">
      <c r="E320" s="409"/>
      <c r="F320" s="409"/>
    </row>
    <row r="321" spans="5:6">
      <c r="E321" s="409"/>
      <c r="F321" s="409"/>
    </row>
    <row r="322" spans="5:6">
      <c r="E322" s="409"/>
      <c r="F322" s="409"/>
    </row>
    <row r="323" spans="5:6">
      <c r="E323" s="409"/>
      <c r="F323" s="409"/>
    </row>
    <row r="324" spans="5:6">
      <c r="E324" s="409"/>
      <c r="F324" s="409"/>
    </row>
    <row r="325" spans="5:6">
      <c r="E325" s="409"/>
      <c r="F325" s="409"/>
    </row>
    <row r="326" spans="5:6">
      <c r="E326" s="409"/>
      <c r="F326" s="409"/>
    </row>
    <row r="327" spans="5:6">
      <c r="E327" s="409"/>
      <c r="F327" s="409"/>
    </row>
    <row r="328" spans="5:6">
      <c r="E328" s="409"/>
      <c r="F328" s="409"/>
    </row>
    <row r="329" spans="5:6">
      <c r="E329" s="409"/>
      <c r="F329" s="409"/>
    </row>
    <row r="330" spans="5:6">
      <c r="E330" s="409"/>
      <c r="F330" s="409"/>
    </row>
    <row r="331" spans="5:6">
      <c r="E331" s="409"/>
      <c r="F331" s="409"/>
    </row>
    <row r="332" spans="5:6">
      <c r="E332" s="409"/>
      <c r="F332" s="409"/>
    </row>
    <row r="333" spans="5:6">
      <c r="E333" s="409"/>
      <c r="F333" s="409"/>
    </row>
    <row r="334" spans="5:6">
      <c r="E334" s="409"/>
      <c r="F334" s="409"/>
    </row>
    <row r="335" spans="5:6">
      <c r="E335" s="409"/>
      <c r="F335" s="409"/>
    </row>
    <row r="336" spans="5:6">
      <c r="E336" s="409"/>
      <c r="F336" s="409"/>
    </row>
    <row r="337" spans="5:6">
      <c r="E337" s="409"/>
      <c r="F337" s="409"/>
    </row>
    <row r="338" spans="5:6">
      <c r="E338" s="409"/>
      <c r="F338" s="409"/>
    </row>
    <row r="339" spans="5:6">
      <c r="E339" s="409"/>
      <c r="F339" s="409"/>
    </row>
    <row r="340" spans="5:6">
      <c r="E340" s="409"/>
      <c r="F340" s="409"/>
    </row>
    <row r="341" spans="5:6">
      <c r="E341" s="409"/>
      <c r="F341" s="409"/>
    </row>
    <row r="342" spans="5:6">
      <c r="E342" s="409"/>
      <c r="F342" s="409"/>
    </row>
    <row r="343" spans="5:6">
      <c r="E343" s="409"/>
      <c r="F343" s="409"/>
    </row>
    <row r="344" spans="5:6">
      <c r="E344" s="409"/>
      <c r="F344" s="409"/>
    </row>
    <row r="345" spans="5:6">
      <c r="E345" s="409"/>
      <c r="F345" s="409"/>
    </row>
    <row r="346" spans="5:6">
      <c r="E346" s="409"/>
      <c r="F346" s="409"/>
    </row>
    <row r="347" spans="5:6">
      <c r="E347" s="409"/>
      <c r="F347" s="409"/>
    </row>
    <row r="348" spans="5:6">
      <c r="E348" s="409"/>
      <c r="F348" s="409"/>
    </row>
    <row r="349" spans="5:6">
      <c r="E349" s="409"/>
      <c r="F349" s="409"/>
    </row>
    <row r="350" spans="5:6">
      <c r="E350" s="409"/>
      <c r="F350" s="409"/>
    </row>
    <row r="351" spans="5:6">
      <c r="E351" s="409"/>
      <c r="F351" s="409"/>
    </row>
    <row r="352" spans="5:6">
      <c r="E352" s="409"/>
      <c r="F352" s="409"/>
    </row>
    <row r="353" spans="5:6">
      <c r="E353" s="409"/>
      <c r="F353" s="409"/>
    </row>
    <row r="354" spans="5:6">
      <c r="E354" s="409"/>
      <c r="F354" s="409"/>
    </row>
    <row r="355" spans="5:6">
      <c r="E355" s="409"/>
      <c r="F355" s="409"/>
    </row>
    <row r="356" spans="5:6">
      <c r="E356" s="409"/>
      <c r="F356" s="409"/>
    </row>
    <row r="357" spans="5:6">
      <c r="E357" s="409"/>
      <c r="F357" s="409"/>
    </row>
    <row r="358" spans="5:6">
      <c r="E358" s="409"/>
      <c r="F358" s="409"/>
    </row>
    <row r="359" spans="5:6">
      <c r="E359" s="409"/>
      <c r="F359" s="409"/>
    </row>
    <row r="360" spans="5:6">
      <c r="E360" s="409"/>
      <c r="F360" s="409"/>
    </row>
    <row r="361" spans="5:6">
      <c r="E361" s="409"/>
      <c r="F361" s="409"/>
    </row>
    <row r="362" spans="5:6">
      <c r="E362" s="409"/>
      <c r="F362" s="409"/>
    </row>
    <row r="363" spans="5:6">
      <c r="E363" s="409"/>
      <c r="F363" s="409"/>
    </row>
    <row r="364" spans="5:6">
      <c r="E364" s="409"/>
      <c r="F364" s="409"/>
    </row>
    <row r="365" spans="5:6">
      <c r="E365" s="409"/>
      <c r="F365" s="409"/>
    </row>
    <row r="366" spans="5:6">
      <c r="E366" s="409"/>
      <c r="F366" s="409"/>
    </row>
    <row r="367" spans="5:6">
      <c r="E367" s="409"/>
      <c r="F367" s="409"/>
    </row>
    <row r="368" spans="5:6">
      <c r="E368" s="409"/>
      <c r="F368" s="409"/>
    </row>
    <row r="369" spans="5:6">
      <c r="E369" s="409"/>
      <c r="F369" s="409"/>
    </row>
    <row r="370" spans="5:6">
      <c r="E370" s="409"/>
      <c r="F370" s="409"/>
    </row>
    <row r="371" spans="5:6">
      <c r="E371" s="409"/>
      <c r="F371" s="409"/>
    </row>
    <row r="372" spans="5:6">
      <c r="E372" s="409"/>
      <c r="F372" s="409"/>
    </row>
    <row r="373" spans="5:6">
      <c r="E373" s="409"/>
      <c r="F373" s="409"/>
    </row>
    <row r="374" spans="5:6">
      <c r="E374" s="409"/>
      <c r="F374" s="409"/>
    </row>
    <row r="375" spans="5:6">
      <c r="E375" s="409"/>
      <c r="F375" s="409"/>
    </row>
    <row r="376" spans="5:6">
      <c r="E376" s="409"/>
      <c r="F376" s="409"/>
    </row>
    <row r="377" spans="5:6">
      <c r="E377" s="409"/>
      <c r="F377" s="409"/>
    </row>
    <row r="378" spans="5:6">
      <c r="E378" s="409"/>
      <c r="F378" s="409"/>
    </row>
    <row r="379" spans="5:6">
      <c r="E379" s="409"/>
      <c r="F379" s="409"/>
    </row>
    <row r="380" spans="5:6">
      <c r="E380" s="409"/>
      <c r="F380" s="409"/>
    </row>
    <row r="381" spans="5:6">
      <c r="E381" s="409"/>
      <c r="F381" s="409"/>
    </row>
    <row r="382" spans="5:6">
      <c r="E382" s="409"/>
      <c r="F382" s="409"/>
    </row>
    <row r="383" spans="5:6">
      <c r="E383" s="409"/>
      <c r="F383" s="409"/>
    </row>
    <row r="384" spans="5:6">
      <c r="E384" s="409"/>
      <c r="F384" s="409"/>
    </row>
    <row r="385" spans="5:6">
      <c r="E385" s="409"/>
      <c r="F385" s="409"/>
    </row>
    <row r="386" spans="5:6">
      <c r="E386" s="409"/>
      <c r="F386" s="409"/>
    </row>
    <row r="387" spans="5:6">
      <c r="E387" s="409"/>
      <c r="F387" s="409"/>
    </row>
    <row r="388" spans="5:6">
      <c r="E388" s="409"/>
      <c r="F388" s="409"/>
    </row>
    <row r="389" spans="5:6">
      <c r="E389" s="409"/>
      <c r="F389" s="409"/>
    </row>
    <row r="390" spans="5:6">
      <c r="E390" s="409"/>
      <c r="F390" s="409"/>
    </row>
    <row r="391" spans="5:6">
      <c r="E391" s="409"/>
      <c r="F391" s="409"/>
    </row>
    <row r="392" spans="5:6">
      <c r="E392" s="409"/>
      <c r="F392" s="409"/>
    </row>
    <row r="393" spans="5:6">
      <c r="E393" s="409"/>
      <c r="F393" s="409"/>
    </row>
    <row r="394" spans="5:6">
      <c r="E394" s="409"/>
      <c r="F394" s="409"/>
    </row>
    <row r="395" spans="5:6">
      <c r="E395" s="409"/>
      <c r="F395" s="409"/>
    </row>
    <row r="396" spans="5:6">
      <c r="E396" s="409"/>
      <c r="F396" s="409"/>
    </row>
    <row r="397" spans="5:6">
      <c r="E397" s="409"/>
      <c r="F397" s="409"/>
    </row>
    <row r="398" spans="5:6">
      <c r="E398" s="409"/>
      <c r="F398" s="409"/>
    </row>
    <row r="399" spans="5:6">
      <c r="E399" s="409"/>
      <c r="F399" s="409"/>
    </row>
    <row r="400" spans="5:6">
      <c r="E400" s="409"/>
      <c r="F400" s="409"/>
    </row>
    <row r="401" spans="5:6">
      <c r="E401" s="409"/>
      <c r="F401" s="409"/>
    </row>
    <row r="402" spans="5:6">
      <c r="E402" s="409"/>
      <c r="F402" s="409"/>
    </row>
    <row r="403" spans="5:6">
      <c r="E403" s="409"/>
      <c r="F403" s="409"/>
    </row>
    <row r="404" spans="5:6">
      <c r="E404" s="409"/>
      <c r="F404" s="409"/>
    </row>
    <row r="405" spans="5:6">
      <c r="E405" s="409"/>
      <c r="F405" s="409"/>
    </row>
    <row r="406" spans="5:6">
      <c r="E406" s="409"/>
      <c r="F406" s="409"/>
    </row>
    <row r="407" spans="5:6">
      <c r="E407" s="409"/>
      <c r="F407" s="409"/>
    </row>
    <row r="408" spans="5:6">
      <c r="E408" s="409"/>
      <c r="F408" s="409"/>
    </row>
    <row r="409" spans="5:6">
      <c r="E409" s="409"/>
      <c r="F409" s="409"/>
    </row>
    <row r="410" spans="5:6">
      <c r="E410" s="409"/>
      <c r="F410" s="409"/>
    </row>
    <row r="411" spans="5:6">
      <c r="E411" s="409"/>
      <c r="F411" s="409"/>
    </row>
    <row r="412" spans="5:6">
      <c r="E412" s="409"/>
      <c r="F412" s="409"/>
    </row>
    <row r="413" spans="5:6">
      <c r="E413" s="409"/>
      <c r="F413" s="409"/>
    </row>
    <row r="414" spans="5:6">
      <c r="E414" s="409"/>
      <c r="F414" s="409"/>
    </row>
    <row r="415" spans="5:6">
      <c r="E415" s="409"/>
      <c r="F415" s="409"/>
    </row>
    <row r="416" spans="5:6">
      <c r="E416" s="409"/>
      <c r="F416" s="409"/>
    </row>
    <row r="417" spans="5:6">
      <c r="E417" s="409"/>
      <c r="F417" s="409"/>
    </row>
    <row r="418" spans="5:6">
      <c r="E418" s="409"/>
      <c r="F418" s="409"/>
    </row>
    <row r="419" spans="5:6">
      <c r="E419" s="409"/>
      <c r="F419" s="409"/>
    </row>
    <row r="420" spans="5:6">
      <c r="E420" s="409"/>
      <c r="F420" s="409"/>
    </row>
    <row r="421" spans="5:6">
      <c r="E421" s="409"/>
      <c r="F421" s="409"/>
    </row>
    <row r="422" spans="5:6">
      <c r="E422" s="409"/>
      <c r="F422" s="409"/>
    </row>
    <row r="423" spans="5:6">
      <c r="E423" s="409"/>
      <c r="F423" s="409"/>
    </row>
    <row r="424" spans="5:6">
      <c r="E424" s="409"/>
      <c r="F424" s="409"/>
    </row>
    <row r="425" spans="5:6">
      <c r="E425" s="409"/>
      <c r="F425" s="409"/>
    </row>
    <row r="426" spans="5:6">
      <c r="E426" s="409"/>
      <c r="F426" s="409"/>
    </row>
    <row r="427" spans="5:6">
      <c r="E427" s="409"/>
      <c r="F427" s="409"/>
    </row>
    <row r="428" spans="5:6">
      <c r="E428" s="409"/>
      <c r="F428" s="409"/>
    </row>
    <row r="429" spans="5:6">
      <c r="E429" s="409"/>
      <c r="F429" s="409"/>
    </row>
    <row r="430" spans="5:6">
      <c r="E430" s="409"/>
      <c r="F430" s="409"/>
    </row>
    <row r="431" spans="5:6">
      <c r="E431" s="409"/>
      <c r="F431" s="409"/>
    </row>
    <row r="432" spans="5:6">
      <c r="E432" s="409"/>
      <c r="F432" s="409"/>
    </row>
    <row r="433" spans="5:6">
      <c r="E433" s="409"/>
      <c r="F433" s="409"/>
    </row>
    <row r="434" spans="5:6">
      <c r="E434" s="409"/>
      <c r="F434" s="409"/>
    </row>
    <row r="435" spans="5:6">
      <c r="E435" s="409"/>
      <c r="F435" s="409"/>
    </row>
    <row r="436" spans="5:6">
      <c r="E436" s="409"/>
      <c r="F436" s="409"/>
    </row>
    <row r="437" spans="5:6">
      <c r="E437" s="409"/>
      <c r="F437" s="409"/>
    </row>
    <row r="438" spans="5:6">
      <c r="E438" s="409"/>
      <c r="F438" s="409"/>
    </row>
    <row r="439" spans="5:6">
      <c r="E439" s="409"/>
      <c r="F439" s="409"/>
    </row>
    <row r="440" spans="5:6">
      <c r="E440" s="409"/>
      <c r="F440" s="409"/>
    </row>
    <row r="441" spans="5:6">
      <c r="E441" s="409"/>
      <c r="F441" s="409"/>
    </row>
    <row r="442" spans="5:6">
      <c r="E442" s="409"/>
      <c r="F442" s="409"/>
    </row>
    <row r="443" spans="5:6">
      <c r="E443" s="409"/>
      <c r="F443" s="409"/>
    </row>
    <row r="444" spans="5:6">
      <c r="E444" s="409"/>
      <c r="F444" s="409"/>
    </row>
    <row r="445" spans="5:6">
      <c r="E445" s="409"/>
      <c r="F445" s="409"/>
    </row>
    <row r="446" spans="5:6">
      <c r="E446" s="409"/>
      <c r="F446" s="409"/>
    </row>
    <row r="447" spans="5:6">
      <c r="E447" s="409"/>
      <c r="F447" s="409"/>
    </row>
    <row r="448" spans="5:6">
      <c r="E448" s="409"/>
      <c r="F448" s="409"/>
    </row>
    <row r="449" spans="5:6">
      <c r="E449" s="409"/>
      <c r="F449" s="409"/>
    </row>
    <row r="450" spans="5:6">
      <c r="E450" s="409"/>
      <c r="F450" s="409"/>
    </row>
    <row r="451" spans="5:6">
      <c r="E451" s="409"/>
      <c r="F451" s="409"/>
    </row>
    <row r="452" spans="5:6">
      <c r="E452" s="409"/>
      <c r="F452" s="409"/>
    </row>
    <row r="453" spans="5:6">
      <c r="E453" s="409"/>
      <c r="F453" s="409"/>
    </row>
    <row r="454" spans="5:6">
      <c r="E454" s="409"/>
      <c r="F454" s="409"/>
    </row>
    <row r="455" spans="5:6">
      <c r="E455" s="409"/>
      <c r="F455" s="409"/>
    </row>
    <row r="456" spans="5:6">
      <c r="E456" s="409"/>
      <c r="F456" s="409"/>
    </row>
    <row r="457" spans="5:6">
      <c r="E457" s="409"/>
      <c r="F457" s="409"/>
    </row>
    <row r="458" spans="5:6">
      <c r="E458" s="409"/>
      <c r="F458" s="409"/>
    </row>
    <row r="459" spans="5:6">
      <c r="E459" s="409"/>
      <c r="F459" s="409"/>
    </row>
    <row r="460" spans="5:6">
      <c r="E460" s="409"/>
      <c r="F460" s="409"/>
    </row>
    <row r="461" spans="5:6">
      <c r="E461" s="409"/>
      <c r="F461" s="409"/>
    </row>
    <row r="462" spans="5:6">
      <c r="E462" s="409"/>
      <c r="F462" s="409"/>
    </row>
    <row r="463" spans="5:6">
      <c r="E463" s="409"/>
      <c r="F463" s="409"/>
    </row>
    <row r="464" spans="5:6">
      <c r="E464" s="409"/>
      <c r="F464" s="409"/>
    </row>
    <row r="465" spans="5:6">
      <c r="E465" s="409"/>
      <c r="F465" s="409"/>
    </row>
    <row r="466" spans="5:6">
      <c r="E466" s="409"/>
      <c r="F466" s="409"/>
    </row>
    <row r="467" spans="5:6">
      <c r="E467" s="409"/>
      <c r="F467" s="409"/>
    </row>
    <row r="468" spans="5:6">
      <c r="E468" s="409"/>
      <c r="F468" s="409"/>
    </row>
    <row r="469" spans="5:6">
      <c r="E469" s="409"/>
      <c r="F469" s="409"/>
    </row>
    <row r="470" spans="5:6">
      <c r="E470" s="409"/>
      <c r="F470" s="409"/>
    </row>
    <row r="471" spans="5:6">
      <c r="E471" s="409"/>
      <c r="F471" s="409"/>
    </row>
    <row r="472" spans="5:6">
      <c r="E472" s="409"/>
      <c r="F472" s="409"/>
    </row>
    <row r="473" spans="5:6">
      <c r="E473" s="409"/>
      <c r="F473" s="409"/>
    </row>
    <row r="474" spans="5:6">
      <c r="E474" s="409"/>
      <c r="F474" s="409"/>
    </row>
    <row r="475" spans="5:6">
      <c r="E475" s="409"/>
      <c r="F475" s="409"/>
    </row>
    <row r="476" spans="5:6">
      <c r="E476" s="409"/>
      <c r="F476" s="409"/>
    </row>
    <row r="477" spans="5:6">
      <c r="E477" s="409"/>
      <c r="F477" s="409"/>
    </row>
    <row r="478" spans="5:6">
      <c r="E478" s="409"/>
      <c r="F478" s="409"/>
    </row>
    <row r="479" spans="5:6">
      <c r="E479" s="409"/>
      <c r="F479" s="409"/>
    </row>
    <row r="480" spans="5:6">
      <c r="E480" s="409"/>
      <c r="F480" s="409"/>
    </row>
    <row r="481" spans="5:6">
      <c r="E481" s="409"/>
      <c r="F481" s="409"/>
    </row>
    <row r="482" spans="5:6">
      <c r="E482" s="409"/>
      <c r="F482" s="409"/>
    </row>
    <row r="483" spans="5:6">
      <c r="E483" s="409"/>
      <c r="F483" s="409"/>
    </row>
    <row r="484" spans="5:6">
      <c r="E484" s="409"/>
      <c r="F484" s="409"/>
    </row>
    <row r="485" spans="5:6">
      <c r="E485" s="409"/>
      <c r="F485" s="409"/>
    </row>
    <row r="486" spans="5:6">
      <c r="E486" s="409"/>
      <c r="F486" s="409"/>
    </row>
    <row r="487" spans="5:6">
      <c r="E487" s="409"/>
      <c r="F487" s="409"/>
    </row>
    <row r="488" spans="5:6">
      <c r="E488" s="409"/>
      <c r="F488" s="409"/>
    </row>
    <row r="489" spans="5:6">
      <c r="E489" s="409"/>
      <c r="F489" s="409"/>
    </row>
    <row r="490" spans="5:6">
      <c r="E490" s="409"/>
      <c r="F490" s="409"/>
    </row>
    <row r="491" spans="5:6">
      <c r="E491" s="409"/>
      <c r="F491" s="409"/>
    </row>
    <row r="492" spans="5:6">
      <c r="E492" s="409"/>
      <c r="F492" s="409"/>
    </row>
    <row r="493" spans="5:6">
      <c r="E493" s="409"/>
      <c r="F493" s="409"/>
    </row>
    <row r="494" spans="5:6">
      <c r="E494" s="409"/>
      <c r="F494" s="409"/>
    </row>
    <row r="495" spans="5:6">
      <c r="E495" s="409"/>
      <c r="F495" s="409"/>
    </row>
    <row r="496" spans="5:6">
      <c r="E496" s="409"/>
      <c r="F496" s="409"/>
    </row>
    <row r="497" spans="5:6">
      <c r="E497" s="409"/>
      <c r="F497" s="409"/>
    </row>
    <row r="498" spans="5:6">
      <c r="E498" s="409"/>
      <c r="F498" s="409"/>
    </row>
    <row r="499" spans="5:6">
      <c r="E499" s="409"/>
      <c r="F499" s="409"/>
    </row>
    <row r="500" spans="5:6">
      <c r="E500" s="409"/>
      <c r="F500" s="409"/>
    </row>
    <row r="501" spans="5:6">
      <c r="E501" s="409"/>
      <c r="F501" s="409"/>
    </row>
    <row r="502" spans="5:6">
      <c r="E502" s="409"/>
      <c r="F502" s="409"/>
    </row>
    <row r="503" spans="5:6">
      <c r="E503" s="409"/>
      <c r="F503" s="409"/>
    </row>
    <row r="504" spans="5:6">
      <c r="E504" s="409"/>
      <c r="F504" s="409"/>
    </row>
    <row r="505" spans="5:6">
      <c r="E505" s="409"/>
      <c r="F505" s="409"/>
    </row>
    <row r="506" spans="5:6">
      <c r="E506" s="409"/>
      <c r="F506" s="409"/>
    </row>
    <row r="507" spans="5:6">
      <c r="E507" s="409"/>
      <c r="F507" s="409"/>
    </row>
    <row r="508" spans="5:6">
      <c r="E508" s="409"/>
      <c r="F508" s="409"/>
    </row>
    <row r="509" spans="5:6">
      <c r="E509" s="409"/>
      <c r="F509" s="409"/>
    </row>
    <row r="510" spans="5:6">
      <c r="E510" s="409"/>
      <c r="F510" s="409"/>
    </row>
    <row r="511" spans="5:6">
      <c r="E511" s="409"/>
      <c r="F511" s="409"/>
    </row>
    <row r="512" spans="5:6">
      <c r="E512" s="409"/>
      <c r="F512" s="409"/>
    </row>
    <row r="513" spans="5:6">
      <c r="E513" s="409"/>
      <c r="F513" s="409"/>
    </row>
    <row r="514" spans="5:6">
      <c r="E514" s="409"/>
      <c r="F514" s="409"/>
    </row>
    <row r="515" spans="5:6">
      <c r="E515" s="409"/>
      <c r="F515" s="409"/>
    </row>
    <row r="516" spans="5:6">
      <c r="E516" s="409"/>
      <c r="F516" s="409"/>
    </row>
    <row r="517" spans="5:6">
      <c r="E517" s="409"/>
      <c r="F517" s="409"/>
    </row>
    <row r="518" spans="5:6">
      <c r="E518" s="409"/>
      <c r="F518" s="409"/>
    </row>
    <row r="519" spans="5:6">
      <c r="E519" s="409"/>
      <c r="F519" s="409"/>
    </row>
    <row r="520" spans="5:6">
      <c r="E520" s="409"/>
      <c r="F520" s="409"/>
    </row>
    <row r="521" spans="5:6">
      <c r="E521" s="409"/>
      <c r="F521" s="409"/>
    </row>
    <row r="522" spans="5:6">
      <c r="E522" s="409"/>
      <c r="F522" s="409"/>
    </row>
    <row r="523" spans="5:6">
      <c r="E523" s="409"/>
      <c r="F523" s="409"/>
    </row>
    <row r="524" spans="5:6">
      <c r="E524" s="409"/>
      <c r="F524" s="409"/>
    </row>
    <row r="525" spans="5:6">
      <c r="E525" s="409"/>
      <c r="F525" s="409"/>
    </row>
    <row r="526" spans="5:6">
      <c r="E526" s="409"/>
      <c r="F526" s="409"/>
    </row>
    <row r="527" spans="5:6">
      <c r="E527" s="409"/>
      <c r="F527" s="409"/>
    </row>
    <row r="528" spans="5:6">
      <c r="E528" s="409"/>
      <c r="F528" s="409"/>
    </row>
    <row r="529" spans="5:6">
      <c r="E529" s="409"/>
      <c r="F529" s="409"/>
    </row>
    <row r="530" spans="5:6">
      <c r="E530" s="409"/>
      <c r="F530" s="409"/>
    </row>
    <row r="531" spans="5:6">
      <c r="E531" s="409"/>
      <c r="F531" s="409"/>
    </row>
    <row r="532" spans="5:6">
      <c r="E532" s="409"/>
      <c r="F532" s="409"/>
    </row>
    <row r="533" spans="5:6">
      <c r="E533" s="409"/>
      <c r="F533" s="409"/>
    </row>
    <row r="534" spans="5:6">
      <c r="E534" s="409"/>
      <c r="F534" s="409"/>
    </row>
    <row r="535" spans="5:6">
      <c r="E535" s="409"/>
      <c r="F535" s="409"/>
    </row>
    <row r="536" spans="5:6">
      <c r="E536" s="409"/>
      <c r="F536" s="409"/>
    </row>
    <row r="537" spans="5:6">
      <c r="E537" s="409"/>
      <c r="F537" s="409"/>
    </row>
    <row r="538" spans="5:6">
      <c r="E538" s="409"/>
      <c r="F538" s="409"/>
    </row>
    <row r="539" spans="5:6">
      <c r="E539" s="409"/>
      <c r="F539" s="409"/>
    </row>
    <row r="540" spans="5:6">
      <c r="E540" s="409"/>
      <c r="F540" s="409"/>
    </row>
    <row r="541" spans="5:6">
      <c r="E541" s="409"/>
      <c r="F541" s="409"/>
    </row>
    <row r="542" spans="5:6">
      <c r="E542" s="409"/>
      <c r="F542" s="409"/>
    </row>
    <row r="543" spans="5:6">
      <c r="E543" s="409"/>
      <c r="F543" s="409"/>
    </row>
    <row r="544" spans="5:6">
      <c r="E544" s="409"/>
      <c r="F544" s="409"/>
    </row>
    <row r="545" spans="5:6">
      <c r="E545" s="409"/>
      <c r="F545" s="409"/>
    </row>
    <row r="546" spans="5:6">
      <c r="E546" s="409"/>
      <c r="F546" s="409"/>
    </row>
    <row r="547" spans="5:6">
      <c r="E547" s="409"/>
      <c r="F547" s="409"/>
    </row>
    <row r="548" spans="5:6">
      <c r="E548" s="409"/>
      <c r="F548" s="409"/>
    </row>
    <row r="549" spans="5:6">
      <c r="E549" s="409"/>
      <c r="F549" s="409"/>
    </row>
    <row r="550" spans="5:6">
      <c r="E550" s="409"/>
      <c r="F550" s="409"/>
    </row>
    <row r="551" spans="5:6">
      <c r="E551" s="409"/>
      <c r="F551" s="409"/>
    </row>
    <row r="552" spans="5:6">
      <c r="E552" s="409"/>
      <c r="F552" s="409"/>
    </row>
    <row r="553" spans="5:6">
      <c r="E553" s="409"/>
      <c r="F553" s="409"/>
    </row>
    <row r="554" spans="5:6">
      <c r="E554" s="409"/>
      <c r="F554" s="409"/>
    </row>
    <row r="555" spans="5:6">
      <c r="E555" s="409"/>
      <c r="F555" s="409"/>
    </row>
    <row r="556" spans="5:6">
      <c r="E556" s="409"/>
      <c r="F556" s="409"/>
    </row>
    <row r="557" spans="5:6">
      <c r="E557" s="409"/>
      <c r="F557" s="409"/>
    </row>
    <row r="558" spans="5:6">
      <c r="E558" s="409"/>
      <c r="F558" s="409"/>
    </row>
    <row r="559" spans="5:6">
      <c r="E559" s="409"/>
      <c r="F559" s="409"/>
    </row>
    <row r="560" spans="5:6">
      <c r="E560" s="409"/>
      <c r="F560" s="409"/>
    </row>
    <row r="561" spans="5:6">
      <c r="E561" s="409"/>
      <c r="F561" s="409"/>
    </row>
    <row r="562" spans="5:6">
      <c r="E562" s="409"/>
      <c r="F562" s="409"/>
    </row>
    <row r="563" spans="5:6">
      <c r="E563" s="409"/>
      <c r="F563" s="409"/>
    </row>
    <row r="564" spans="5:6">
      <c r="E564" s="409"/>
      <c r="F564" s="409"/>
    </row>
    <row r="565" spans="5:6">
      <c r="E565" s="409"/>
      <c r="F565" s="409"/>
    </row>
    <row r="566" spans="5:6">
      <c r="E566" s="409"/>
      <c r="F566" s="409"/>
    </row>
    <row r="567" spans="5:6">
      <c r="E567" s="409"/>
      <c r="F567" s="409"/>
    </row>
    <row r="568" spans="5:6">
      <c r="E568" s="409"/>
      <c r="F568" s="409"/>
    </row>
    <row r="569" spans="5:6">
      <c r="E569" s="409"/>
      <c r="F569" s="409"/>
    </row>
    <row r="570" spans="5:6">
      <c r="E570" s="409"/>
      <c r="F570" s="409"/>
    </row>
    <row r="571" spans="5:6">
      <c r="E571" s="409"/>
      <c r="F571" s="409"/>
    </row>
    <row r="572" spans="5:6">
      <c r="E572" s="409"/>
      <c r="F572" s="409"/>
    </row>
    <row r="573" spans="5:6">
      <c r="E573" s="409"/>
      <c r="F573" s="409"/>
    </row>
    <row r="574" spans="5:6">
      <c r="E574" s="409"/>
      <c r="F574" s="409"/>
    </row>
    <row r="575" spans="5:6">
      <c r="E575" s="409"/>
      <c r="F575" s="409"/>
    </row>
    <row r="576" spans="5:6">
      <c r="E576" s="409"/>
      <c r="F576" s="409"/>
    </row>
    <row r="577" spans="5:6">
      <c r="E577" s="409"/>
      <c r="F577" s="409"/>
    </row>
    <row r="578" spans="5:6">
      <c r="E578" s="409"/>
      <c r="F578" s="409"/>
    </row>
    <row r="579" spans="5:6">
      <c r="E579" s="409"/>
      <c r="F579" s="409"/>
    </row>
    <row r="580" spans="5:6">
      <c r="E580" s="409"/>
      <c r="F580" s="409"/>
    </row>
    <row r="581" spans="5:6">
      <c r="E581" s="409"/>
      <c r="F581" s="409"/>
    </row>
    <row r="582" spans="5:6">
      <c r="E582" s="409"/>
      <c r="F582" s="409"/>
    </row>
    <row r="583" spans="5:6">
      <c r="E583" s="409"/>
      <c r="F583" s="409"/>
    </row>
    <row r="584" spans="5:6">
      <c r="E584" s="409"/>
      <c r="F584" s="409"/>
    </row>
    <row r="585" spans="5:6">
      <c r="E585" s="409"/>
      <c r="F585" s="409"/>
    </row>
    <row r="586" spans="5:6">
      <c r="E586" s="409"/>
      <c r="F586" s="409"/>
    </row>
    <row r="587" spans="5:6">
      <c r="E587" s="409"/>
      <c r="F587" s="409"/>
    </row>
    <row r="588" spans="5:6">
      <c r="E588" s="409"/>
      <c r="F588" s="409"/>
    </row>
    <row r="589" spans="5:6">
      <c r="E589" s="409"/>
      <c r="F589" s="409"/>
    </row>
    <row r="590" spans="5:6">
      <c r="E590" s="409"/>
      <c r="F590" s="409"/>
    </row>
    <row r="591" spans="5:6">
      <c r="E591" s="409"/>
      <c r="F591" s="409"/>
    </row>
    <row r="592" spans="5:6">
      <c r="E592" s="409"/>
      <c r="F592" s="409"/>
    </row>
    <row r="593" spans="5:6">
      <c r="E593" s="409"/>
      <c r="F593" s="409"/>
    </row>
    <row r="594" spans="5:6">
      <c r="E594" s="409"/>
      <c r="F594" s="409"/>
    </row>
    <row r="595" spans="5:6">
      <c r="E595" s="409"/>
      <c r="F595" s="409"/>
    </row>
    <row r="596" spans="5:6">
      <c r="E596" s="409"/>
      <c r="F596" s="409"/>
    </row>
    <row r="597" spans="5:6">
      <c r="E597" s="409"/>
      <c r="F597" s="409"/>
    </row>
    <row r="598" spans="5:6">
      <c r="E598" s="409"/>
      <c r="F598" s="409"/>
    </row>
    <row r="599" spans="5:6">
      <c r="E599" s="409"/>
      <c r="F599" s="409"/>
    </row>
    <row r="600" spans="5:6">
      <c r="E600" s="409"/>
      <c r="F600" s="409"/>
    </row>
    <row r="601" spans="5:6">
      <c r="E601" s="409"/>
      <c r="F601" s="409"/>
    </row>
    <row r="602" spans="5:6">
      <c r="E602" s="409"/>
      <c r="F602" s="409"/>
    </row>
    <row r="603" spans="5:6">
      <c r="E603" s="409"/>
      <c r="F603" s="409"/>
    </row>
    <row r="604" spans="5:6">
      <c r="E604" s="409"/>
      <c r="F604" s="409"/>
    </row>
    <row r="605" spans="5:6">
      <c r="E605" s="409"/>
      <c r="F605" s="409"/>
    </row>
    <row r="606" spans="5:6">
      <c r="E606" s="409"/>
      <c r="F606" s="409"/>
    </row>
    <row r="607" spans="5:6">
      <c r="E607" s="409"/>
      <c r="F607" s="409"/>
    </row>
    <row r="608" spans="5:6">
      <c r="E608" s="409"/>
      <c r="F608" s="409"/>
    </row>
    <row r="609" spans="5:6">
      <c r="E609" s="409"/>
      <c r="F609" s="409"/>
    </row>
    <row r="610" spans="5:6">
      <c r="E610" s="409"/>
      <c r="F610" s="409"/>
    </row>
    <row r="611" spans="5:6">
      <c r="E611" s="409"/>
      <c r="F611" s="409"/>
    </row>
    <row r="612" spans="5:6">
      <c r="E612" s="409"/>
      <c r="F612" s="409"/>
    </row>
    <row r="613" spans="5:6">
      <c r="E613" s="409"/>
      <c r="F613" s="409"/>
    </row>
    <row r="614" spans="5:6">
      <c r="E614" s="409"/>
      <c r="F614" s="409"/>
    </row>
    <row r="615" spans="5:6">
      <c r="E615" s="409"/>
      <c r="F615" s="409"/>
    </row>
    <row r="616" spans="5:6">
      <c r="E616" s="409"/>
      <c r="F616" s="409"/>
    </row>
    <row r="617" spans="5:6">
      <c r="E617" s="409"/>
      <c r="F617" s="409"/>
    </row>
    <row r="618" spans="5:6">
      <c r="E618" s="409"/>
      <c r="F618" s="409"/>
    </row>
    <row r="619" spans="5:6">
      <c r="E619" s="409"/>
      <c r="F619" s="409"/>
    </row>
    <row r="620" spans="5:6">
      <c r="E620" s="409"/>
      <c r="F620" s="409"/>
    </row>
    <row r="621" spans="5:6">
      <c r="E621" s="409"/>
      <c r="F621" s="409"/>
    </row>
    <row r="622" spans="5:6">
      <c r="E622" s="409"/>
      <c r="F622" s="409"/>
    </row>
    <row r="623" spans="5:6">
      <c r="E623" s="409"/>
      <c r="F623" s="409"/>
    </row>
    <row r="624" spans="5:6">
      <c r="E624" s="409"/>
      <c r="F624" s="409"/>
    </row>
    <row r="625" spans="5:6">
      <c r="E625" s="409"/>
      <c r="F625" s="409"/>
    </row>
    <row r="626" spans="5:6">
      <c r="E626" s="409"/>
      <c r="F626" s="409"/>
    </row>
    <row r="627" spans="5:6">
      <c r="E627" s="409"/>
      <c r="F627" s="409"/>
    </row>
    <row r="628" spans="5:6">
      <c r="E628" s="409"/>
      <c r="F628" s="409"/>
    </row>
    <row r="629" spans="5:6">
      <c r="E629" s="409"/>
      <c r="F629" s="409"/>
    </row>
    <row r="630" spans="5:6">
      <c r="E630" s="409"/>
      <c r="F630" s="409"/>
    </row>
    <row r="631" spans="5:6">
      <c r="E631" s="409"/>
      <c r="F631" s="409"/>
    </row>
    <row r="632" spans="5:6">
      <c r="E632" s="409"/>
      <c r="F632" s="409"/>
    </row>
    <row r="633" spans="5:6">
      <c r="E633" s="409"/>
      <c r="F633" s="409"/>
    </row>
    <row r="634" spans="5:6">
      <c r="E634" s="409"/>
      <c r="F634" s="409"/>
    </row>
    <row r="635" spans="5:6">
      <c r="E635" s="409"/>
      <c r="F635" s="409"/>
    </row>
    <row r="636" spans="5:6">
      <c r="E636" s="409"/>
      <c r="F636" s="409"/>
    </row>
    <row r="637" spans="5:6">
      <c r="E637" s="409"/>
      <c r="F637" s="409"/>
    </row>
    <row r="638" spans="5:6">
      <c r="E638" s="409"/>
      <c r="F638" s="409"/>
    </row>
    <row r="639" spans="5:6">
      <c r="E639" s="409"/>
      <c r="F639" s="409"/>
    </row>
    <row r="640" spans="5:6">
      <c r="E640" s="409"/>
      <c r="F640" s="409"/>
    </row>
    <row r="641" spans="5:6">
      <c r="E641" s="409"/>
      <c r="F641" s="409"/>
    </row>
    <row r="642" spans="5:6">
      <c r="E642" s="409"/>
      <c r="F642" s="409"/>
    </row>
    <row r="643" spans="5:6">
      <c r="E643" s="409"/>
      <c r="F643" s="409"/>
    </row>
    <row r="644" spans="5:6">
      <c r="E644" s="409"/>
      <c r="F644" s="409"/>
    </row>
    <row r="645" spans="5:6">
      <c r="E645" s="409"/>
      <c r="F645" s="409"/>
    </row>
    <row r="646" spans="5:6">
      <c r="E646" s="409"/>
      <c r="F646" s="409"/>
    </row>
    <row r="647" spans="5:6">
      <c r="E647" s="409"/>
      <c r="F647" s="409"/>
    </row>
    <row r="648" spans="5:6">
      <c r="E648" s="409"/>
      <c r="F648" s="409"/>
    </row>
    <row r="649" spans="5:6">
      <c r="E649" s="409"/>
      <c r="F649" s="409"/>
    </row>
    <row r="650" spans="5:6">
      <c r="E650" s="409"/>
      <c r="F650" s="409"/>
    </row>
    <row r="651" spans="5:6">
      <c r="E651" s="409"/>
      <c r="F651" s="409"/>
    </row>
    <row r="652" spans="5:6">
      <c r="E652" s="409"/>
      <c r="F652" s="409"/>
    </row>
    <row r="653" spans="5:6">
      <c r="E653" s="409"/>
      <c r="F653" s="409"/>
    </row>
    <row r="654" spans="5:6">
      <c r="E654" s="409"/>
      <c r="F654" s="409"/>
    </row>
    <row r="655" spans="5:6">
      <c r="E655" s="409"/>
      <c r="F655" s="409"/>
    </row>
    <row r="656" spans="5:6">
      <c r="E656" s="409"/>
      <c r="F656" s="409"/>
    </row>
    <row r="657" spans="5:6">
      <c r="E657" s="409"/>
      <c r="F657" s="409"/>
    </row>
    <row r="658" spans="5:6">
      <c r="E658" s="409"/>
      <c r="F658" s="409"/>
    </row>
    <row r="659" spans="5:6">
      <c r="E659" s="409"/>
      <c r="F659" s="409"/>
    </row>
    <row r="660" spans="5:6">
      <c r="E660" s="409"/>
      <c r="F660" s="409"/>
    </row>
    <row r="661" spans="5:6">
      <c r="E661" s="409"/>
      <c r="F661" s="409"/>
    </row>
    <row r="662" spans="5:6">
      <c r="E662" s="409"/>
      <c r="F662" s="409"/>
    </row>
    <row r="663" spans="5:6">
      <c r="E663" s="409"/>
      <c r="F663" s="409"/>
    </row>
    <row r="664" spans="5:6">
      <c r="E664" s="409"/>
      <c r="F664" s="409"/>
    </row>
    <row r="665" spans="5:6">
      <c r="E665" s="409"/>
      <c r="F665" s="409"/>
    </row>
    <row r="666" spans="5:6">
      <c r="E666" s="409"/>
      <c r="F666" s="409"/>
    </row>
    <row r="667" spans="5:6">
      <c r="E667" s="409"/>
      <c r="F667" s="409"/>
    </row>
    <row r="668" spans="5:6">
      <c r="E668" s="409"/>
      <c r="F668" s="409"/>
    </row>
    <row r="669" spans="5:6">
      <c r="E669" s="409"/>
      <c r="F669" s="409"/>
    </row>
    <row r="670" spans="5:6">
      <c r="E670" s="409"/>
      <c r="F670" s="409"/>
    </row>
    <row r="671" spans="5:6">
      <c r="E671" s="409"/>
      <c r="F671" s="409"/>
    </row>
    <row r="672" spans="5:6">
      <c r="E672" s="409"/>
      <c r="F672" s="409"/>
    </row>
    <row r="673" spans="5:6">
      <c r="E673" s="409"/>
      <c r="F673" s="409"/>
    </row>
    <row r="674" spans="5:6">
      <c r="E674" s="409"/>
      <c r="F674" s="409"/>
    </row>
    <row r="675" spans="5:6">
      <c r="E675" s="409"/>
      <c r="F675" s="409"/>
    </row>
    <row r="676" spans="5:6">
      <c r="E676" s="409"/>
      <c r="F676" s="409"/>
    </row>
    <row r="677" spans="5:6">
      <c r="E677" s="409"/>
      <c r="F677" s="409"/>
    </row>
    <row r="678" spans="5:6">
      <c r="E678" s="409"/>
      <c r="F678" s="409"/>
    </row>
    <row r="679" spans="5:6">
      <c r="E679" s="409"/>
      <c r="F679" s="409"/>
    </row>
    <row r="680" spans="5:6">
      <c r="E680" s="409"/>
      <c r="F680" s="409"/>
    </row>
    <row r="681" spans="5:6">
      <c r="E681" s="409"/>
      <c r="F681" s="409"/>
    </row>
    <row r="682" spans="5:6">
      <c r="E682" s="409"/>
      <c r="F682" s="409"/>
    </row>
    <row r="683" spans="5:6">
      <c r="E683" s="409"/>
      <c r="F683" s="409"/>
    </row>
    <row r="684" spans="5:6">
      <c r="E684" s="409"/>
      <c r="F684" s="409"/>
    </row>
    <row r="685" spans="5:6">
      <c r="E685" s="409"/>
      <c r="F685" s="409"/>
    </row>
    <row r="686" spans="5:6">
      <c r="E686" s="409"/>
      <c r="F686" s="409"/>
    </row>
    <row r="687" spans="5:6">
      <c r="E687" s="409"/>
      <c r="F687" s="409"/>
    </row>
    <row r="688" spans="5:6">
      <c r="E688" s="409"/>
      <c r="F688" s="409"/>
    </row>
    <row r="689" spans="5:6">
      <c r="E689" s="409"/>
      <c r="F689" s="409"/>
    </row>
    <row r="690" spans="5:6">
      <c r="E690" s="409"/>
      <c r="F690" s="409"/>
    </row>
    <row r="691" spans="5:6">
      <c r="E691" s="409"/>
      <c r="F691" s="409"/>
    </row>
    <row r="692" spans="5:6">
      <c r="E692" s="409"/>
      <c r="F692" s="409"/>
    </row>
    <row r="693" spans="5:6">
      <c r="E693" s="409"/>
      <c r="F693" s="409"/>
    </row>
    <row r="694" spans="5:6">
      <c r="E694" s="409"/>
      <c r="F694" s="409"/>
    </row>
    <row r="695" spans="5:6">
      <c r="E695" s="409"/>
      <c r="F695" s="409"/>
    </row>
    <row r="696" spans="5:6">
      <c r="E696" s="409"/>
      <c r="F696" s="409"/>
    </row>
    <row r="697" spans="5:6">
      <c r="E697" s="409"/>
      <c r="F697" s="409"/>
    </row>
    <row r="698" spans="5:6">
      <c r="E698" s="409"/>
      <c r="F698" s="409"/>
    </row>
    <row r="699" spans="5:6">
      <c r="E699" s="409"/>
      <c r="F699" s="409"/>
    </row>
    <row r="700" spans="5:6">
      <c r="E700" s="409"/>
      <c r="F700" s="409"/>
    </row>
    <row r="701" spans="5:6">
      <c r="E701" s="409"/>
      <c r="F701" s="409"/>
    </row>
    <row r="702" spans="5:6">
      <c r="E702" s="409"/>
      <c r="F702" s="409"/>
    </row>
    <row r="703" spans="5:6">
      <c r="E703" s="409"/>
      <c r="F703" s="409"/>
    </row>
    <row r="704" spans="5:6">
      <c r="E704" s="409"/>
      <c r="F704" s="409"/>
    </row>
    <row r="705" spans="5:6">
      <c r="E705" s="409"/>
      <c r="F705" s="409"/>
    </row>
    <row r="706" spans="5:6">
      <c r="E706" s="409"/>
      <c r="F706" s="409"/>
    </row>
    <row r="707" spans="5:6">
      <c r="E707" s="409"/>
      <c r="F707" s="409"/>
    </row>
    <row r="708" spans="5:6">
      <c r="E708" s="409"/>
      <c r="F708" s="409"/>
    </row>
    <row r="709" spans="5:6">
      <c r="E709" s="409"/>
      <c r="F709" s="409"/>
    </row>
    <row r="710" spans="5:6">
      <c r="E710" s="409"/>
      <c r="F710" s="409"/>
    </row>
    <row r="711" spans="5:6">
      <c r="E711" s="409"/>
      <c r="F711" s="409"/>
    </row>
    <row r="712" spans="5:6">
      <c r="E712" s="409"/>
      <c r="F712" s="409"/>
    </row>
    <row r="713" spans="5:6">
      <c r="E713" s="409"/>
      <c r="F713" s="409"/>
    </row>
    <row r="714" spans="5:6">
      <c r="E714" s="409"/>
      <c r="F714" s="409"/>
    </row>
    <row r="715" spans="5:6">
      <c r="E715" s="409"/>
      <c r="F715" s="409"/>
    </row>
    <row r="716" spans="5:6">
      <c r="E716" s="409"/>
      <c r="F716" s="409"/>
    </row>
    <row r="717" spans="5:6">
      <c r="E717" s="409"/>
      <c r="F717" s="409"/>
    </row>
    <row r="718" spans="5:6">
      <c r="E718" s="409"/>
      <c r="F718" s="409"/>
    </row>
    <row r="719" spans="5:6">
      <c r="E719" s="409"/>
      <c r="F719" s="409"/>
    </row>
    <row r="720" spans="5:6">
      <c r="E720" s="409"/>
      <c r="F720" s="409"/>
    </row>
    <row r="721" spans="5:6">
      <c r="E721" s="409"/>
      <c r="F721" s="409"/>
    </row>
    <row r="722" spans="5:6">
      <c r="E722" s="409"/>
      <c r="F722" s="409"/>
    </row>
    <row r="723" spans="5:6">
      <c r="E723" s="409"/>
      <c r="F723" s="409"/>
    </row>
    <row r="724" spans="5:6">
      <c r="E724" s="409"/>
      <c r="F724" s="409"/>
    </row>
    <row r="725" spans="5:6">
      <c r="E725" s="409"/>
      <c r="F725" s="409"/>
    </row>
    <row r="726" spans="5:6">
      <c r="E726" s="409"/>
      <c r="F726" s="409"/>
    </row>
    <row r="727" spans="5:6">
      <c r="E727" s="409"/>
      <c r="F727" s="409"/>
    </row>
    <row r="728" spans="5:6">
      <c r="E728" s="409"/>
      <c r="F728" s="409"/>
    </row>
    <row r="729" spans="5:6">
      <c r="E729" s="409"/>
      <c r="F729" s="409"/>
    </row>
    <row r="730" spans="5:6">
      <c r="E730" s="409"/>
      <c r="F730" s="409"/>
    </row>
    <row r="731" spans="5:6">
      <c r="E731" s="409"/>
      <c r="F731" s="409"/>
    </row>
    <row r="732" spans="5:6">
      <c r="E732" s="409"/>
      <c r="F732" s="409"/>
    </row>
    <row r="733" spans="5:6">
      <c r="E733" s="409"/>
      <c r="F733" s="409"/>
    </row>
    <row r="734" spans="5:6">
      <c r="E734" s="409"/>
      <c r="F734" s="409"/>
    </row>
    <row r="735" spans="5:6">
      <c r="E735" s="409"/>
      <c r="F735" s="409"/>
    </row>
    <row r="736" spans="5:6">
      <c r="E736" s="409"/>
      <c r="F736" s="409"/>
    </row>
    <row r="737" spans="5:6">
      <c r="E737" s="409"/>
      <c r="F737" s="409"/>
    </row>
    <row r="738" spans="5:6">
      <c r="E738" s="409"/>
      <c r="F738" s="409"/>
    </row>
    <row r="739" spans="5:6">
      <c r="E739" s="409"/>
      <c r="F739" s="409"/>
    </row>
    <row r="740" spans="5:6">
      <c r="E740" s="409"/>
      <c r="F740" s="409"/>
    </row>
    <row r="741" spans="5:6">
      <c r="E741" s="409"/>
      <c r="F741" s="409"/>
    </row>
    <row r="742" spans="5:6">
      <c r="E742" s="409"/>
      <c r="F742" s="409"/>
    </row>
    <row r="743" spans="5:6">
      <c r="E743" s="409"/>
      <c r="F743" s="409"/>
    </row>
    <row r="744" spans="5:6">
      <c r="E744" s="409"/>
      <c r="F744" s="409"/>
    </row>
    <row r="745" spans="5:6">
      <c r="E745" s="409"/>
      <c r="F745" s="409"/>
    </row>
    <row r="746" spans="5:6">
      <c r="E746" s="409"/>
      <c r="F746" s="409"/>
    </row>
    <row r="747" spans="5:6">
      <c r="E747" s="409"/>
      <c r="F747" s="409"/>
    </row>
    <row r="748" spans="5:6">
      <c r="E748" s="409"/>
      <c r="F748" s="409"/>
    </row>
    <row r="749" spans="5:6">
      <c r="E749" s="409"/>
      <c r="F749" s="409"/>
    </row>
    <row r="750" spans="5:6">
      <c r="E750" s="409"/>
      <c r="F750" s="409"/>
    </row>
    <row r="751" spans="5:6">
      <c r="E751" s="409"/>
      <c r="F751" s="409"/>
    </row>
    <row r="752" spans="5:6">
      <c r="E752" s="409"/>
      <c r="F752" s="409"/>
    </row>
    <row r="753" spans="5:6">
      <c r="E753" s="409"/>
      <c r="F753" s="409"/>
    </row>
    <row r="754" spans="5:6">
      <c r="E754" s="409"/>
      <c r="F754" s="409"/>
    </row>
    <row r="755" spans="5:6">
      <c r="E755" s="409"/>
      <c r="F755" s="409"/>
    </row>
    <row r="756" spans="5:6">
      <c r="E756" s="409"/>
      <c r="F756" s="409"/>
    </row>
    <row r="757" spans="5:6">
      <c r="E757" s="409"/>
      <c r="F757" s="409"/>
    </row>
    <row r="758" spans="5:6">
      <c r="E758" s="409"/>
      <c r="F758" s="409"/>
    </row>
    <row r="759" spans="5:6">
      <c r="E759" s="409"/>
      <c r="F759" s="409"/>
    </row>
    <row r="760" spans="5:6">
      <c r="E760" s="409"/>
      <c r="F760" s="409"/>
    </row>
    <row r="761" spans="5:6">
      <c r="E761" s="409"/>
      <c r="F761" s="409"/>
    </row>
    <row r="762" spans="5:6">
      <c r="E762" s="409"/>
      <c r="F762" s="409"/>
    </row>
    <row r="763" spans="5:6">
      <c r="E763" s="409"/>
      <c r="F763" s="409"/>
    </row>
    <row r="764" spans="5:6">
      <c r="E764" s="409"/>
      <c r="F764" s="409"/>
    </row>
    <row r="765" spans="5:6">
      <c r="E765" s="409"/>
      <c r="F765" s="409"/>
    </row>
    <row r="766" spans="5:6">
      <c r="E766" s="409"/>
      <c r="F766" s="409"/>
    </row>
    <row r="767" spans="5:6">
      <c r="E767" s="409"/>
      <c r="F767" s="409"/>
    </row>
    <row r="768" spans="5:6">
      <c r="E768" s="409"/>
      <c r="F768" s="409"/>
    </row>
    <row r="769" spans="5:6">
      <c r="E769" s="409"/>
      <c r="F769" s="409"/>
    </row>
    <row r="770" spans="5:6">
      <c r="E770" s="409"/>
      <c r="F770" s="409"/>
    </row>
    <row r="771" spans="5:6">
      <c r="E771" s="409"/>
      <c r="F771" s="409"/>
    </row>
    <row r="772" spans="5:6">
      <c r="E772" s="409"/>
      <c r="F772" s="409"/>
    </row>
    <row r="773" spans="5:6">
      <c r="E773" s="409"/>
      <c r="F773" s="409"/>
    </row>
    <row r="774" spans="5:6">
      <c r="E774" s="409"/>
      <c r="F774" s="409"/>
    </row>
    <row r="775" spans="5:6">
      <c r="E775" s="409"/>
      <c r="F775" s="409"/>
    </row>
    <row r="776" spans="5:6">
      <c r="E776" s="409"/>
      <c r="F776" s="409"/>
    </row>
    <row r="777" spans="5:6">
      <c r="E777" s="409"/>
      <c r="F777" s="409"/>
    </row>
    <row r="778" spans="5:6">
      <c r="E778" s="409"/>
      <c r="F778" s="409"/>
    </row>
    <row r="779" spans="5:6">
      <c r="E779" s="409"/>
      <c r="F779" s="409"/>
    </row>
    <row r="780" spans="5:6">
      <c r="E780" s="409"/>
      <c r="F780" s="409"/>
    </row>
    <row r="781" spans="5:6">
      <c r="E781" s="409"/>
      <c r="F781" s="409"/>
    </row>
    <row r="782" spans="5:6">
      <c r="E782" s="409"/>
      <c r="F782" s="409"/>
    </row>
    <row r="783" spans="5:6">
      <c r="E783" s="409"/>
      <c r="F783" s="409"/>
    </row>
    <row r="784" spans="5:6">
      <c r="E784" s="409"/>
      <c r="F784" s="409"/>
    </row>
    <row r="785" spans="5:6">
      <c r="E785" s="409"/>
      <c r="F785" s="409"/>
    </row>
    <row r="786" spans="5:6">
      <c r="E786" s="409"/>
      <c r="F786" s="409"/>
    </row>
    <row r="787" spans="5:6">
      <c r="E787" s="409"/>
      <c r="F787" s="409"/>
    </row>
    <row r="788" spans="5:6">
      <c r="E788" s="409"/>
      <c r="F788" s="409"/>
    </row>
    <row r="789" spans="5:6">
      <c r="E789" s="409"/>
      <c r="F789" s="409"/>
    </row>
    <row r="790" spans="5:6">
      <c r="E790" s="409"/>
      <c r="F790" s="409"/>
    </row>
    <row r="791" spans="5:6">
      <c r="E791" s="409"/>
      <c r="F791" s="409"/>
    </row>
    <row r="792" spans="5:6">
      <c r="E792" s="409"/>
      <c r="F792" s="409"/>
    </row>
    <row r="793" spans="5:6">
      <c r="E793" s="409"/>
      <c r="F793" s="409"/>
    </row>
    <row r="794" spans="5:6">
      <c r="E794" s="409"/>
      <c r="F794" s="409"/>
    </row>
    <row r="795" spans="5:6">
      <c r="E795" s="409"/>
      <c r="F795" s="409"/>
    </row>
    <row r="796" spans="5:6">
      <c r="E796" s="409"/>
      <c r="F796" s="409"/>
    </row>
    <row r="797" spans="5:6">
      <c r="E797" s="409"/>
      <c r="F797" s="409"/>
    </row>
    <row r="798" spans="5:6">
      <c r="E798" s="409"/>
      <c r="F798" s="409"/>
    </row>
    <row r="799" spans="5:6">
      <c r="E799" s="409"/>
      <c r="F799" s="409"/>
    </row>
    <row r="800" spans="5:6">
      <c r="E800" s="409"/>
      <c r="F800" s="409"/>
    </row>
    <row r="801" spans="5:6">
      <c r="E801" s="409"/>
      <c r="F801" s="409"/>
    </row>
    <row r="802" spans="5:6">
      <c r="E802" s="409"/>
      <c r="F802" s="409"/>
    </row>
    <row r="803" spans="5:6">
      <c r="E803" s="409"/>
      <c r="F803" s="409"/>
    </row>
    <row r="804" spans="5:6">
      <c r="E804" s="409"/>
      <c r="F804" s="409"/>
    </row>
    <row r="805" spans="5:6">
      <c r="E805" s="409"/>
      <c r="F805" s="409"/>
    </row>
    <row r="806" spans="5:6">
      <c r="E806" s="409"/>
      <c r="F806" s="409"/>
    </row>
    <row r="807" spans="5:6">
      <c r="E807" s="409"/>
      <c r="F807" s="409"/>
    </row>
    <row r="808" spans="5:6">
      <c r="E808" s="409"/>
      <c r="F808" s="409"/>
    </row>
    <row r="809" spans="5:6">
      <c r="E809" s="409"/>
      <c r="F809" s="409"/>
    </row>
    <row r="810" spans="5:6">
      <c r="E810" s="409"/>
      <c r="F810" s="409"/>
    </row>
    <row r="811" spans="5:6">
      <c r="E811" s="409"/>
      <c r="F811" s="409"/>
    </row>
    <row r="812" spans="5:6">
      <c r="E812" s="409"/>
      <c r="F812" s="409"/>
    </row>
    <row r="813" spans="5:6">
      <c r="E813" s="409"/>
      <c r="F813" s="409"/>
    </row>
    <row r="814" spans="5:6">
      <c r="E814" s="409"/>
      <c r="F814" s="409"/>
    </row>
    <row r="815" spans="5:6">
      <c r="E815" s="409"/>
      <c r="F815" s="409"/>
    </row>
    <row r="816" spans="5:6">
      <c r="E816" s="409"/>
      <c r="F816" s="409"/>
    </row>
    <row r="817" spans="5:6">
      <c r="E817" s="409"/>
      <c r="F817" s="409"/>
    </row>
    <row r="818" spans="5:6">
      <c r="E818" s="409"/>
      <c r="F818" s="409"/>
    </row>
    <row r="819" spans="5:6">
      <c r="E819" s="409"/>
      <c r="F819" s="409"/>
    </row>
    <row r="820" spans="5:6">
      <c r="E820" s="409"/>
      <c r="F820" s="409"/>
    </row>
    <row r="821" spans="5:6">
      <c r="E821" s="409"/>
      <c r="F821" s="409"/>
    </row>
    <row r="822" spans="5:6">
      <c r="E822" s="409"/>
      <c r="F822" s="409"/>
    </row>
    <row r="823" spans="5:6">
      <c r="E823" s="409"/>
      <c r="F823" s="409"/>
    </row>
    <row r="824" spans="5:6">
      <c r="E824" s="409"/>
      <c r="F824" s="409"/>
    </row>
    <row r="825" spans="5:6">
      <c r="E825" s="409"/>
      <c r="F825" s="409"/>
    </row>
    <row r="826" spans="5:6">
      <c r="E826" s="409"/>
      <c r="F826" s="409"/>
    </row>
    <row r="827" spans="5:6">
      <c r="E827" s="409"/>
      <c r="F827" s="409"/>
    </row>
    <row r="828" spans="5:6">
      <c r="E828" s="409"/>
      <c r="F828" s="409"/>
    </row>
    <row r="829" spans="5:6">
      <c r="E829" s="409"/>
      <c r="F829" s="409"/>
    </row>
    <row r="830" spans="5:6">
      <c r="E830" s="409"/>
      <c r="F830" s="409"/>
    </row>
    <row r="831" spans="5:6">
      <c r="E831" s="409"/>
      <c r="F831" s="409"/>
    </row>
    <row r="832" spans="5:6">
      <c r="E832" s="409"/>
      <c r="F832" s="409"/>
    </row>
    <row r="833" spans="5:6">
      <c r="E833" s="409"/>
      <c r="F833" s="409"/>
    </row>
    <row r="834" spans="5:6">
      <c r="E834" s="409"/>
      <c r="F834" s="409"/>
    </row>
    <row r="835" spans="5:6">
      <c r="E835" s="409"/>
      <c r="F835" s="409"/>
    </row>
    <row r="836" spans="5:6">
      <c r="E836" s="409"/>
      <c r="F836" s="409"/>
    </row>
    <row r="837" spans="5:6">
      <c r="E837" s="409"/>
      <c r="F837" s="409"/>
    </row>
    <row r="838" spans="5:6">
      <c r="E838" s="409"/>
      <c r="F838" s="409"/>
    </row>
    <row r="839" spans="5:6">
      <c r="E839" s="409"/>
      <c r="F839" s="409"/>
    </row>
    <row r="840" spans="5:6">
      <c r="E840" s="409"/>
      <c r="F840" s="409"/>
    </row>
    <row r="841" spans="5:6">
      <c r="E841" s="409"/>
      <c r="F841" s="409"/>
    </row>
    <row r="842" spans="5:6">
      <c r="E842" s="409"/>
      <c r="F842" s="409"/>
    </row>
    <row r="843" spans="5:6">
      <c r="E843" s="409"/>
      <c r="F843" s="409"/>
    </row>
    <row r="844" spans="5:6">
      <c r="E844" s="409"/>
      <c r="F844" s="409"/>
    </row>
    <row r="845" spans="5:6">
      <c r="E845" s="409"/>
      <c r="F845" s="409"/>
    </row>
    <row r="846" spans="5:6">
      <c r="E846" s="409"/>
      <c r="F846" s="409"/>
    </row>
    <row r="847" spans="5:6">
      <c r="E847" s="409"/>
      <c r="F847" s="409"/>
    </row>
    <row r="848" spans="5:6">
      <c r="E848" s="409"/>
      <c r="F848" s="409"/>
    </row>
    <row r="849" spans="5:6">
      <c r="E849" s="409"/>
      <c r="F849" s="409"/>
    </row>
    <row r="850" spans="5:6">
      <c r="E850" s="409"/>
      <c r="F850" s="409"/>
    </row>
    <row r="851" spans="5:6">
      <c r="E851" s="409"/>
      <c r="F851" s="409"/>
    </row>
    <row r="852" spans="5:6">
      <c r="E852" s="409"/>
      <c r="F852" s="409"/>
    </row>
    <row r="853" spans="5:6">
      <c r="E853" s="409"/>
      <c r="F853" s="409"/>
    </row>
    <row r="854" spans="5:6">
      <c r="E854" s="409"/>
      <c r="F854" s="409"/>
    </row>
    <row r="855" spans="5:6">
      <c r="E855" s="409"/>
      <c r="F855" s="409"/>
    </row>
    <row r="856" spans="5:6">
      <c r="E856" s="409"/>
      <c r="F856" s="409"/>
    </row>
    <row r="857" spans="5:6">
      <c r="E857" s="409"/>
      <c r="F857" s="409"/>
    </row>
    <row r="858" spans="5:6">
      <c r="E858" s="409"/>
      <c r="F858" s="409"/>
    </row>
    <row r="859" spans="5:6">
      <c r="E859" s="409"/>
      <c r="F859" s="409"/>
    </row>
    <row r="860" spans="5:6">
      <c r="E860" s="409"/>
      <c r="F860" s="409"/>
    </row>
    <row r="861" spans="5:6">
      <c r="E861" s="409"/>
      <c r="F861" s="409"/>
    </row>
    <row r="862" spans="5:6">
      <c r="E862" s="409"/>
      <c r="F862" s="409"/>
    </row>
    <row r="863" spans="5:6">
      <c r="E863" s="409"/>
      <c r="F863" s="409"/>
    </row>
    <row r="864" spans="5:6">
      <c r="E864" s="409"/>
      <c r="F864" s="409"/>
    </row>
    <row r="865" spans="5:6">
      <c r="E865" s="409"/>
      <c r="F865" s="409"/>
    </row>
    <row r="866" spans="5:6">
      <c r="E866" s="409"/>
      <c r="F866" s="409"/>
    </row>
    <row r="867" spans="5:6">
      <c r="E867" s="409"/>
      <c r="F867" s="409"/>
    </row>
    <row r="868" spans="5:6">
      <c r="E868" s="409"/>
      <c r="F868" s="409"/>
    </row>
    <row r="869" spans="5:6">
      <c r="E869" s="409"/>
      <c r="F869" s="409"/>
    </row>
    <row r="870" spans="5:6">
      <c r="E870" s="409"/>
      <c r="F870" s="409"/>
    </row>
    <row r="871" spans="5:6">
      <c r="E871" s="409"/>
      <c r="F871" s="409"/>
    </row>
    <row r="872" spans="5:6">
      <c r="E872" s="409"/>
      <c r="F872" s="409"/>
    </row>
    <row r="873" spans="5:6">
      <c r="E873" s="409"/>
      <c r="F873" s="409"/>
    </row>
    <row r="874" spans="5:6">
      <c r="E874" s="409"/>
      <c r="F874" s="409"/>
    </row>
    <row r="875" spans="5:6">
      <c r="E875" s="409"/>
      <c r="F875" s="409"/>
    </row>
    <row r="876" spans="5:6">
      <c r="E876" s="409"/>
      <c r="F876" s="409"/>
    </row>
    <row r="877" spans="5:6">
      <c r="E877" s="409"/>
      <c r="F877" s="409"/>
    </row>
    <row r="878" spans="5:6">
      <c r="E878" s="409"/>
      <c r="F878" s="409"/>
    </row>
    <row r="879" spans="5:6">
      <c r="E879" s="409"/>
      <c r="F879" s="409"/>
    </row>
    <row r="880" spans="5:6">
      <c r="E880" s="409"/>
      <c r="F880" s="409"/>
    </row>
    <row r="881" spans="5:6">
      <c r="E881" s="409"/>
      <c r="F881" s="409"/>
    </row>
    <row r="882" spans="5:6">
      <c r="E882" s="409"/>
      <c r="F882" s="409"/>
    </row>
    <row r="883" spans="5:6">
      <c r="E883" s="409"/>
      <c r="F883" s="409"/>
    </row>
    <row r="884" spans="5:6">
      <c r="E884" s="409"/>
      <c r="F884" s="409"/>
    </row>
    <row r="885" spans="5:6">
      <c r="E885" s="409"/>
      <c r="F885" s="409"/>
    </row>
    <row r="886" spans="5:6">
      <c r="E886" s="409"/>
      <c r="F886" s="409"/>
    </row>
    <row r="887" spans="5:6">
      <c r="E887" s="409"/>
      <c r="F887" s="409"/>
    </row>
    <row r="888" spans="5:6">
      <c r="E888" s="409"/>
      <c r="F888" s="409"/>
    </row>
    <row r="889" spans="5:6">
      <c r="E889" s="409"/>
      <c r="F889" s="409"/>
    </row>
    <row r="890" spans="5:6">
      <c r="E890" s="409"/>
      <c r="F890" s="409"/>
    </row>
    <row r="891" spans="5:6">
      <c r="E891" s="409"/>
      <c r="F891" s="409"/>
    </row>
    <row r="892" spans="5:6">
      <c r="E892" s="409"/>
      <c r="F892" s="409"/>
    </row>
    <row r="893" spans="5:6">
      <c r="E893" s="409"/>
      <c r="F893" s="409"/>
    </row>
    <row r="894" spans="5:6">
      <c r="E894" s="409"/>
      <c r="F894" s="409"/>
    </row>
    <row r="895" spans="5:6">
      <c r="E895" s="409"/>
      <c r="F895" s="409"/>
    </row>
    <row r="896" spans="5:6">
      <c r="E896" s="409"/>
      <c r="F896" s="409"/>
    </row>
    <row r="897" spans="5:6">
      <c r="E897" s="409"/>
      <c r="F897" s="409"/>
    </row>
    <row r="898" spans="5:6">
      <c r="E898" s="409"/>
      <c r="F898" s="409"/>
    </row>
    <row r="899" spans="5:6">
      <c r="E899" s="409"/>
      <c r="F899" s="409"/>
    </row>
    <row r="900" spans="5:6">
      <c r="E900" s="409"/>
      <c r="F900" s="409"/>
    </row>
    <row r="901" spans="5:6">
      <c r="E901" s="409"/>
      <c r="F901" s="409"/>
    </row>
    <row r="902" spans="5:6">
      <c r="E902" s="409"/>
      <c r="F902" s="409"/>
    </row>
    <row r="903" spans="5:6">
      <c r="E903" s="409"/>
      <c r="F903" s="409"/>
    </row>
    <row r="904" spans="5:6">
      <c r="E904" s="409"/>
      <c r="F904" s="409"/>
    </row>
    <row r="905" spans="5:6">
      <c r="E905" s="409"/>
      <c r="F905" s="409"/>
    </row>
    <row r="906" spans="5:6">
      <c r="E906" s="409"/>
      <c r="F906" s="409"/>
    </row>
    <row r="907" spans="5:6">
      <c r="E907" s="409"/>
      <c r="F907" s="409"/>
    </row>
    <row r="908" spans="5:6">
      <c r="E908" s="409"/>
      <c r="F908" s="409"/>
    </row>
    <row r="909" spans="5:6">
      <c r="E909" s="409"/>
      <c r="F909" s="409"/>
    </row>
    <row r="910" spans="5:6">
      <c r="E910" s="409"/>
      <c r="F910" s="409"/>
    </row>
    <row r="911" spans="5:6">
      <c r="E911" s="409"/>
      <c r="F911" s="409"/>
    </row>
    <row r="912" spans="5:6">
      <c r="E912" s="409"/>
      <c r="F912" s="409"/>
    </row>
    <row r="913" spans="5:6">
      <c r="E913" s="409"/>
      <c r="F913" s="409"/>
    </row>
    <row r="914" spans="5:6">
      <c r="E914" s="409"/>
      <c r="F914" s="409"/>
    </row>
    <row r="915" spans="5:6">
      <c r="E915" s="409"/>
      <c r="F915" s="409"/>
    </row>
    <row r="916" spans="5:6">
      <c r="E916" s="409"/>
      <c r="F916" s="409"/>
    </row>
    <row r="917" spans="5:6">
      <c r="E917" s="409"/>
      <c r="F917" s="409"/>
    </row>
    <row r="918" spans="5:6">
      <c r="E918" s="409"/>
      <c r="F918" s="409"/>
    </row>
    <row r="919" spans="5:6">
      <c r="E919" s="409"/>
      <c r="F919" s="409"/>
    </row>
    <row r="920" spans="5:6">
      <c r="E920" s="409"/>
      <c r="F920" s="409"/>
    </row>
    <row r="921" spans="5:6">
      <c r="E921" s="409"/>
      <c r="F921" s="409"/>
    </row>
    <row r="922" spans="5:6">
      <c r="E922" s="409"/>
      <c r="F922" s="409"/>
    </row>
    <row r="923" spans="5:6">
      <c r="E923" s="409"/>
      <c r="F923" s="409"/>
    </row>
    <row r="924" spans="5:6">
      <c r="E924" s="409"/>
      <c r="F924" s="409"/>
    </row>
    <row r="925" spans="5:6">
      <c r="E925" s="409"/>
      <c r="F925" s="409"/>
    </row>
    <row r="926" spans="5:6">
      <c r="E926" s="409"/>
      <c r="F926" s="409"/>
    </row>
    <row r="927" spans="5:6">
      <c r="E927" s="409"/>
      <c r="F927" s="409"/>
    </row>
    <row r="928" spans="5:6">
      <c r="E928" s="409"/>
      <c r="F928" s="409"/>
    </row>
    <row r="929" spans="5:6">
      <c r="E929" s="409"/>
      <c r="F929" s="409"/>
    </row>
    <row r="930" spans="5:6">
      <c r="E930" s="409"/>
      <c r="F930" s="409"/>
    </row>
    <row r="931" spans="5:6">
      <c r="E931" s="409"/>
      <c r="F931" s="409"/>
    </row>
    <row r="932" spans="5:6">
      <c r="E932" s="409"/>
      <c r="F932" s="409"/>
    </row>
    <row r="933" spans="5:6">
      <c r="E933" s="409"/>
      <c r="F933" s="409"/>
    </row>
    <row r="934" spans="5:6">
      <c r="E934" s="409"/>
      <c r="F934" s="409"/>
    </row>
    <row r="935" spans="5:6">
      <c r="E935" s="409"/>
      <c r="F935" s="409"/>
    </row>
    <row r="936" spans="5:6">
      <c r="E936" s="409"/>
      <c r="F936" s="409"/>
    </row>
    <row r="937" spans="5:6">
      <c r="E937" s="409"/>
      <c r="F937" s="409"/>
    </row>
    <row r="938" spans="5:6">
      <c r="E938" s="409"/>
      <c r="F938" s="409"/>
    </row>
    <row r="939" spans="5:6">
      <c r="E939" s="409"/>
      <c r="F939" s="409"/>
    </row>
    <row r="940" spans="5:6">
      <c r="E940" s="409"/>
      <c r="F940" s="409"/>
    </row>
    <row r="941" spans="5:6">
      <c r="E941" s="409"/>
      <c r="F941" s="409"/>
    </row>
    <row r="942" spans="5:6">
      <c r="E942" s="409"/>
      <c r="F942" s="409"/>
    </row>
    <row r="943" spans="5:6">
      <c r="E943" s="409"/>
      <c r="F943" s="409"/>
    </row>
    <row r="944" spans="5:6">
      <c r="E944" s="409"/>
      <c r="F944" s="409"/>
    </row>
    <row r="945" spans="5:6">
      <c r="E945" s="409"/>
      <c r="F945" s="409"/>
    </row>
    <row r="946" spans="5:6">
      <c r="E946" s="409"/>
      <c r="F946" s="409"/>
    </row>
    <row r="947" spans="5:6">
      <c r="E947" s="409"/>
      <c r="F947" s="409"/>
    </row>
    <row r="948" spans="5:6">
      <c r="E948" s="409"/>
      <c r="F948" s="409"/>
    </row>
    <row r="949" spans="5:6">
      <c r="E949" s="409"/>
      <c r="F949" s="409"/>
    </row>
    <row r="950" spans="5:6">
      <c r="E950" s="409"/>
      <c r="F950" s="409"/>
    </row>
    <row r="951" spans="5:6">
      <c r="E951" s="409"/>
      <c r="F951" s="409"/>
    </row>
    <row r="952" spans="5:6">
      <c r="E952" s="409"/>
      <c r="F952" s="409"/>
    </row>
    <row r="953" spans="5:6">
      <c r="E953" s="409"/>
      <c r="F953" s="409"/>
    </row>
    <row r="954" spans="5:6">
      <c r="E954" s="409"/>
      <c r="F954" s="409"/>
    </row>
    <row r="955" spans="5:6">
      <c r="E955" s="409"/>
      <c r="F955" s="409"/>
    </row>
    <row r="956" spans="5:6">
      <c r="E956" s="409"/>
      <c r="F956" s="409"/>
    </row>
    <row r="957" spans="5:6">
      <c r="E957" s="409"/>
      <c r="F957" s="409"/>
    </row>
    <row r="958" spans="5:6">
      <c r="E958" s="409"/>
      <c r="F958" s="409"/>
    </row>
    <row r="959" spans="5:6">
      <c r="E959" s="409"/>
      <c r="F959" s="409"/>
    </row>
    <row r="960" spans="5:6">
      <c r="E960" s="409"/>
      <c r="F960" s="409"/>
    </row>
    <row r="961" spans="5:6">
      <c r="E961" s="409"/>
      <c r="F961" s="409"/>
    </row>
    <row r="962" spans="5:6">
      <c r="E962" s="409"/>
      <c r="F962" s="409"/>
    </row>
    <row r="963" spans="5:6">
      <c r="E963" s="409"/>
      <c r="F963" s="409"/>
    </row>
    <row r="964" spans="5:6">
      <c r="E964" s="409"/>
      <c r="F964" s="409"/>
    </row>
    <row r="965" spans="5:6">
      <c r="E965" s="409"/>
      <c r="F965" s="409"/>
    </row>
    <row r="966" spans="5:6">
      <c r="E966" s="409"/>
      <c r="F966" s="409"/>
    </row>
    <row r="967" spans="5:6">
      <c r="E967" s="409"/>
      <c r="F967" s="409"/>
    </row>
    <row r="968" spans="5:6">
      <c r="E968" s="409"/>
      <c r="F968" s="409"/>
    </row>
    <row r="969" spans="5:6">
      <c r="E969" s="409"/>
      <c r="F969" s="409"/>
    </row>
    <row r="970" spans="5:6">
      <c r="E970" s="409"/>
      <c r="F970" s="409"/>
    </row>
    <row r="971" spans="5:6">
      <c r="E971" s="409"/>
      <c r="F971" s="409"/>
    </row>
    <row r="972" spans="5:6">
      <c r="E972" s="409"/>
      <c r="F972" s="409"/>
    </row>
    <row r="973" spans="5:6">
      <c r="E973" s="409"/>
      <c r="F973" s="409"/>
    </row>
    <row r="974" spans="5:6">
      <c r="E974" s="409"/>
      <c r="F974" s="409"/>
    </row>
    <row r="975" spans="5:6">
      <c r="E975" s="409"/>
      <c r="F975" s="409"/>
    </row>
    <row r="976" spans="5:6">
      <c r="E976" s="409"/>
      <c r="F976" s="409"/>
    </row>
    <row r="977" spans="5:6">
      <c r="E977" s="409"/>
      <c r="F977" s="409"/>
    </row>
    <row r="978" spans="5:6">
      <c r="E978" s="409"/>
      <c r="F978" s="409"/>
    </row>
    <row r="979" spans="5:6">
      <c r="E979" s="409"/>
      <c r="F979" s="409"/>
    </row>
    <row r="980" spans="5:6">
      <c r="E980" s="409"/>
      <c r="F980" s="409"/>
    </row>
    <row r="981" spans="5:6">
      <c r="E981" s="409"/>
      <c r="F981" s="409"/>
    </row>
    <row r="982" spans="5:6">
      <c r="E982" s="409"/>
      <c r="F982" s="409"/>
    </row>
    <row r="983" spans="5:6">
      <c r="E983" s="409"/>
      <c r="F983" s="409"/>
    </row>
    <row r="984" spans="5:6">
      <c r="E984" s="409"/>
      <c r="F984" s="409"/>
    </row>
    <row r="985" spans="5:6">
      <c r="E985" s="409"/>
      <c r="F985" s="409"/>
    </row>
    <row r="986" spans="5:6">
      <c r="E986" s="409"/>
      <c r="F986" s="409"/>
    </row>
    <row r="987" spans="5:6">
      <c r="E987" s="409"/>
      <c r="F987" s="409"/>
    </row>
    <row r="988" spans="5:6">
      <c r="E988" s="409"/>
      <c r="F988" s="409"/>
    </row>
    <row r="989" spans="5:6">
      <c r="E989" s="409"/>
      <c r="F989" s="409"/>
    </row>
    <row r="990" spans="5:6">
      <c r="E990" s="409"/>
      <c r="F990" s="409"/>
    </row>
    <row r="991" spans="5:6">
      <c r="E991" s="409"/>
      <c r="F991" s="409"/>
    </row>
    <row r="992" spans="5:6">
      <c r="E992" s="409"/>
      <c r="F992" s="409"/>
    </row>
    <row r="993" spans="5:6">
      <c r="E993" s="409"/>
      <c r="F993" s="409"/>
    </row>
    <row r="994" spans="5:6">
      <c r="E994" s="409"/>
      <c r="F994" s="409"/>
    </row>
    <row r="995" spans="5:6">
      <c r="E995" s="409"/>
      <c r="F995" s="409"/>
    </row>
    <row r="996" spans="5:6">
      <c r="E996" s="409"/>
      <c r="F996" s="409"/>
    </row>
    <row r="997" spans="5:6">
      <c r="E997" s="409"/>
      <c r="F997" s="409"/>
    </row>
    <row r="998" spans="5:6">
      <c r="E998" s="409"/>
      <c r="F998" s="409"/>
    </row>
    <row r="999" spans="5:6">
      <c r="E999" s="409"/>
      <c r="F999" s="409"/>
    </row>
    <row r="1000" spans="5:6">
      <c r="E1000" s="409"/>
      <c r="F1000" s="409"/>
    </row>
    <row r="1001" spans="5:6">
      <c r="E1001" s="409"/>
      <c r="F1001" s="409"/>
    </row>
    <row r="1002" spans="5:6">
      <c r="E1002" s="409"/>
      <c r="F1002" s="409"/>
    </row>
    <row r="1003" spans="5:6">
      <c r="E1003" s="409"/>
      <c r="F1003" s="409"/>
    </row>
    <row r="1004" spans="5:6">
      <c r="E1004" s="409"/>
      <c r="F1004" s="409"/>
    </row>
    <row r="1005" spans="5:6">
      <c r="E1005" s="409"/>
      <c r="F1005" s="409"/>
    </row>
    <row r="1006" spans="5:6">
      <c r="E1006" s="409"/>
      <c r="F1006" s="409"/>
    </row>
    <row r="1007" spans="5:6">
      <c r="E1007" s="409"/>
      <c r="F1007" s="409"/>
    </row>
    <row r="1008" spans="5:6">
      <c r="E1008" s="409"/>
      <c r="F1008" s="409"/>
    </row>
    <row r="1009" spans="5:6">
      <c r="E1009" s="409"/>
      <c r="F1009" s="409"/>
    </row>
    <row r="1010" spans="5:6">
      <c r="E1010" s="409"/>
      <c r="F1010" s="409"/>
    </row>
    <row r="1011" spans="5:6">
      <c r="E1011" s="409"/>
      <c r="F1011" s="409"/>
    </row>
    <row r="1012" spans="5:6">
      <c r="E1012" s="409"/>
      <c r="F1012" s="409"/>
    </row>
    <row r="1013" spans="5:6">
      <c r="E1013" s="409"/>
      <c r="F1013" s="409"/>
    </row>
    <row r="1014" spans="5:6">
      <c r="E1014" s="409"/>
      <c r="F1014" s="409"/>
    </row>
    <row r="1015" spans="5:6">
      <c r="E1015" s="409"/>
      <c r="F1015" s="409"/>
    </row>
    <row r="1016" spans="5:6">
      <c r="E1016" s="409"/>
      <c r="F1016" s="409"/>
    </row>
    <row r="1017" spans="5:6">
      <c r="E1017" s="409"/>
      <c r="F1017" s="409"/>
    </row>
    <row r="1018" spans="5:6">
      <c r="E1018" s="409"/>
      <c r="F1018" s="409"/>
    </row>
    <row r="1019" spans="5:6">
      <c r="E1019" s="409"/>
      <c r="F1019" s="409"/>
    </row>
    <row r="1020" spans="5:6">
      <c r="E1020" s="409"/>
      <c r="F1020" s="409"/>
    </row>
    <row r="1021" spans="5:6">
      <c r="E1021" s="409"/>
      <c r="F1021" s="409"/>
    </row>
    <row r="1022" spans="5:6">
      <c r="E1022" s="409"/>
      <c r="F1022" s="409"/>
    </row>
    <row r="1023" spans="5:6">
      <c r="E1023" s="409"/>
      <c r="F1023" s="409"/>
    </row>
    <row r="1024" spans="5:6">
      <c r="E1024" s="409"/>
      <c r="F1024" s="409"/>
    </row>
    <row r="1025" spans="5:6">
      <c r="E1025" s="409"/>
      <c r="F1025" s="409"/>
    </row>
    <row r="1026" spans="5:6">
      <c r="E1026" s="409"/>
      <c r="F1026" s="409"/>
    </row>
    <row r="1027" spans="5:6">
      <c r="E1027" s="409"/>
      <c r="F1027" s="409"/>
    </row>
    <row r="1028" spans="5:6">
      <c r="E1028" s="409"/>
      <c r="F1028" s="409"/>
    </row>
    <row r="1029" spans="5:6">
      <c r="E1029" s="409"/>
      <c r="F1029" s="409"/>
    </row>
    <row r="1030" spans="5:6">
      <c r="E1030" s="409"/>
      <c r="F1030" s="409"/>
    </row>
    <row r="1031" spans="5:6">
      <c r="E1031" s="409"/>
      <c r="F1031" s="409"/>
    </row>
    <row r="1032" spans="5:6">
      <c r="E1032" s="409"/>
      <c r="F1032" s="409"/>
    </row>
    <row r="1033" spans="5:6">
      <c r="E1033" s="409"/>
      <c r="F1033" s="409"/>
    </row>
    <row r="1034" spans="5:6">
      <c r="E1034" s="409"/>
      <c r="F1034" s="409"/>
    </row>
    <row r="1035" spans="5:6">
      <c r="E1035" s="409"/>
      <c r="F1035" s="409"/>
    </row>
    <row r="1036" spans="5:6">
      <c r="E1036" s="409"/>
      <c r="F1036" s="409"/>
    </row>
    <row r="1037" spans="5:6">
      <c r="E1037" s="409"/>
      <c r="F1037" s="409"/>
    </row>
    <row r="1038" spans="5:6">
      <c r="E1038" s="409"/>
      <c r="F1038" s="409"/>
    </row>
    <row r="1039" spans="5:6">
      <c r="E1039" s="409"/>
      <c r="F1039" s="409"/>
    </row>
    <row r="1040" spans="5:6">
      <c r="E1040" s="409"/>
      <c r="F1040" s="409"/>
    </row>
    <row r="1041" spans="5:6">
      <c r="E1041" s="409"/>
      <c r="F1041" s="409"/>
    </row>
    <row r="1042" spans="5:6">
      <c r="E1042" s="409"/>
      <c r="F1042" s="409"/>
    </row>
    <row r="1043" spans="5:6">
      <c r="E1043" s="409"/>
      <c r="F1043" s="409"/>
    </row>
    <row r="1044" spans="5:6">
      <c r="E1044" s="409"/>
      <c r="F1044" s="409"/>
    </row>
    <row r="1045" spans="5:6">
      <c r="E1045" s="409"/>
      <c r="F1045" s="409"/>
    </row>
    <row r="1046" spans="5:6">
      <c r="E1046" s="409"/>
      <c r="F1046" s="409"/>
    </row>
    <row r="1047" spans="5:6">
      <c r="E1047" s="409"/>
      <c r="F1047" s="409"/>
    </row>
    <row r="1048" spans="5:6">
      <c r="E1048" s="409"/>
      <c r="F1048" s="409"/>
    </row>
    <row r="1049" spans="5:6">
      <c r="E1049" s="409"/>
      <c r="F1049" s="409"/>
    </row>
    <row r="1050" spans="5:6">
      <c r="E1050" s="409"/>
      <c r="F1050" s="409"/>
    </row>
    <row r="1051" spans="5:6">
      <c r="E1051" s="409"/>
      <c r="F1051" s="409"/>
    </row>
    <row r="1052" spans="5:6">
      <c r="E1052" s="409"/>
      <c r="F1052" s="409"/>
    </row>
    <row r="1053" spans="5:6">
      <c r="E1053" s="409"/>
      <c r="F1053" s="409"/>
    </row>
    <row r="1054" spans="5:6">
      <c r="E1054" s="409"/>
      <c r="F1054" s="409"/>
    </row>
    <row r="1055" spans="5:6">
      <c r="E1055" s="409"/>
      <c r="F1055" s="409"/>
    </row>
    <row r="1056" spans="5:6">
      <c r="E1056" s="409"/>
      <c r="F1056" s="409"/>
    </row>
    <row r="1057" spans="5:6">
      <c r="E1057" s="409"/>
      <c r="F1057" s="409"/>
    </row>
    <row r="1058" spans="5:6">
      <c r="E1058" s="409"/>
      <c r="F1058" s="409"/>
    </row>
    <row r="1059" spans="5:6">
      <c r="E1059" s="409"/>
      <c r="F1059" s="409"/>
    </row>
    <row r="1060" spans="5:6">
      <c r="E1060" s="409"/>
      <c r="F1060" s="409"/>
    </row>
    <row r="1061" spans="5:6">
      <c r="E1061" s="409"/>
      <c r="F1061" s="409"/>
    </row>
    <row r="1062" spans="5:6">
      <c r="E1062" s="409"/>
      <c r="F1062" s="409"/>
    </row>
    <row r="1063" spans="5:6">
      <c r="E1063" s="409"/>
      <c r="F1063" s="409"/>
    </row>
    <row r="1064" spans="5:6">
      <c r="E1064" s="409"/>
      <c r="F1064" s="409"/>
    </row>
    <row r="1065" spans="5:6">
      <c r="E1065" s="409"/>
      <c r="F1065" s="409"/>
    </row>
    <row r="1066" spans="5:6">
      <c r="E1066" s="409"/>
      <c r="F1066" s="409"/>
    </row>
    <row r="1067" spans="5:6">
      <c r="E1067" s="409"/>
      <c r="F1067" s="409"/>
    </row>
    <row r="1068" spans="5:6">
      <c r="E1068" s="409"/>
      <c r="F1068" s="409"/>
    </row>
    <row r="1069" spans="5:6">
      <c r="E1069" s="409"/>
      <c r="F1069" s="409"/>
    </row>
    <row r="1070" spans="5:6">
      <c r="E1070" s="409"/>
      <c r="F1070" s="409"/>
    </row>
    <row r="1071" spans="5:6">
      <c r="E1071" s="409"/>
      <c r="F1071" s="409"/>
    </row>
    <row r="1072" spans="5:6">
      <c r="E1072" s="409"/>
      <c r="F1072" s="409"/>
    </row>
    <row r="1073" spans="5:6">
      <c r="E1073" s="409"/>
      <c r="F1073" s="409"/>
    </row>
    <row r="1074" spans="5:6">
      <c r="E1074" s="409"/>
      <c r="F1074" s="409"/>
    </row>
    <row r="1075" spans="5:6">
      <c r="E1075" s="409"/>
      <c r="F1075" s="409"/>
    </row>
    <row r="1076" spans="5:6">
      <c r="E1076" s="409"/>
      <c r="F1076" s="409"/>
    </row>
    <row r="1077" spans="5:6">
      <c r="E1077" s="409"/>
      <c r="F1077" s="409"/>
    </row>
    <row r="1078" spans="5:6">
      <c r="E1078" s="409"/>
      <c r="F1078" s="409"/>
    </row>
    <row r="1079" spans="5:6">
      <c r="E1079" s="409"/>
      <c r="F1079" s="409"/>
    </row>
    <row r="1080" spans="5:6">
      <c r="E1080" s="409"/>
      <c r="F1080" s="409"/>
    </row>
    <row r="1081" spans="5:6">
      <c r="E1081" s="409"/>
      <c r="F1081" s="409"/>
    </row>
    <row r="1082" spans="5:6">
      <c r="E1082" s="409"/>
      <c r="F1082" s="409"/>
    </row>
    <row r="1083" spans="5:6">
      <c r="E1083" s="409"/>
      <c r="F1083" s="409"/>
    </row>
    <row r="1084" spans="5:6">
      <c r="E1084" s="409"/>
      <c r="F1084" s="409"/>
    </row>
    <row r="1085" spans="5:6">
      <c r="E1085" s="409"/>
      <c r="F1085" s="409"/>
    </row>
    <row r="1086" spans="5:6">
      <c r="E1086" s="409"/>
      <c r="F1086" s="409"/>
    </row>
    <row r="1087" spans="5:6">
      <c r="E1087" s="409"/>
      <c r="F1087" s="409"/>
    </row>
    <row r="1088" spans="5:6">
      <c r="E1088" s="409"/>
      <c r="F1088" s="409"/>
    </row>
    <row r="1089" spans="5:6">
      <c r="E1089" s="409"/>
      <c r="F1089" s="409"/>
    </row>
    <row r="1090" spans="5:6">
      <c r="E1090" s="409"/>
      <c r="F1090" s="409"/>
    </row>
    <row r="1091" spans="5:6">
      <c r="E1091" s="409"/>
      <c r="F1091" s="409"/>
    </row>
    <row r="1092" spans="5:6">
      <c r="E1092" s="409"/>
      <c r="F1092" s="409"/>
    </row>
    <row r="1093" spans="5:6">
      <c r="E1093" s="409"/>
      <c r="F1093" s="409"/>
    </row>
    <row r="1094" spans="5:6">
      <c r="E1094" s="409"/>
      <c r="F1094" s="409"/>
    </row>
    <row r="1095" spans="5:6">
      <c r="E1095" s="409"/>
      <c r="F1095" s="409"/>
    </row>
    <row r="1096" spans="5:6">
      <c r="E1096" s="409"/>
      <c r="F1096" s="409"/>
    </row>
    <row r="1097" spans="5:6">
      <c r="E1097" s="409"/>
      <c r="F1097" s="409"/>
    </row>
    <row r="1098" spans="5:6">
      <c r="E1098" s="409"/>
      <c r="F1098" s="409"/>
    </row>
    <row r="1099" spans="5:6">
      <c r="E1099" s="409"/>
      <c r="F1099" s="409"/>
    </row>
    <row r="1100" spans="5:6">
      <c r="E1100" s="409"/>
      <c r="F1100" s="409"/>
    </row>
    <row r="1101" spans="5:6">
      <c r="E1101" s="409"/>
      <c r="F1101" s="409"/>
    </row>
    <row r="1102" spans="5:6">
      <c r="E1102" s="409"/>
      <c r="F1102" s="409"/>
    </row>
    <row r="1103" spans="5:6">
      <c r="E1103" s="409"/>
      <c r="F1103" s="409"/>
    </row>
    <row r="1104" spans="5:6">
      <c r="E1104" s="409"/>
      <c r="F1104" s="409"/>
    </row>
    <row r="1105" spans="5:6">
      <c r="E1105" s="409"/>
      <c r="F1105" s="409"/>
    </row>
    <row r="1106" spans="5:6">
      <c r="E1106" s="409"/>
      <c r="F1106" s="409"/>
    </row>
    <row r="1107" spans="5:6">
      <c r="E1107" s="409"/>
      <c r="F1107" s="409"/>
    </row>
    <row r="1108" spans="5:6">
      <c r="E1108" s="409"/>
      <c r="F1108" s="409"/>
    </row>
    <row r="1109" spans="5:6">
      <c r="E1109" s="409"/>
      <c r="F1109" s="409"/>
    </row>
    <row r="1110" spans="5:6">
      <c r="E1110" s="409"/>
      <c r="F1110" s="409"/>
    </row>
    <row r="1111" spans="5:6">
      <c r="E1111" s="409"/>
      <c r="F1111" s="409"/>
    </row>
    <row r="1112" spans="5:6">
      <c r="E1112" s="409"/>
      <c r="F1112" s="409"/>
    </row>
    <row r="1113" spans="5:6">
      <c r="E1113" s="409"/>
      <c r="F1113" s="409"/>
    </row>
    <row r="1114" spans="5:6">
      <c r="E1114" s="409"/>
      <c r="F1114" s="409"/>
    </row>
    <row r="1115" spans="5:6">
      <c r="E1115" s="409"/>
      <c r="F1115" s="409"/>
    </row>
    <row r="1116" spans="5:6">
      <c r="E1116" s="409"/>
      <c r="F1116" s="409"/>
    </row>
    <row r="1117" spans="5:6">
      <c r="E1117" s="409"/>
      <c r="F1117" s="409"/>
    </row>
    <row r="1118" spans="5:6">
      <c r="E1118" s="409"/>
      <c r="F1118" s="409"/>
    </row>
    <row r="1119" spans="5:6">
      <c r="E1119" s="409"/>
      <c r="F1119" s="409"/>
    </row>
    <row r="1120" spans="5:6">
      <c r="E1120" s="409"/>
      <c r="F1120" s="409"/>
    </row>
    <row r="1121" spans="5:6">
      <c r="E1121" s="409"/>
      <c r="F1121" s="409"/>
    </row>
    <row r="1122" spans="5:6">
      <c r="E1122" s="409"/>
      <c r="F1122" s="409"/>
    </row>
    <row r="1123" spans="5:6">
      <c r="E1123" s="409"/>
      <c r="F1123" s="409"/>
    </row>
    <row r="1124" spans="5:6">
      <c r="E1124" s="409"/>
      <c r="F1124" s="409"/>
    </row>
    <row r="1125" spans="5:6">
      <c r="E1125" s="409"/>
      <c r="F1125" s="409"/>
    </row>
    <row r="1126" spans="5:6">
      <c r="E1126" s="409"/>
      <c r="F1126" s="409"/>
    </row>
    <row r="1127" spans="5:6">
      <c r="E1127" s="409"/>
      <c r="F1127" s="409"/>
    </row>
    <row r="1128" spans="5:6">
      <c r="E1128" s="409"/>
      <c r="F1128" s="409"/>
    </row>
    <row r="1129" spans="5:6">
      <c r="E1129" s="409"/>
      <c r="F1129" s="409"/>
    </row>
    <row r="1130" spans="5:6">
      <c r="E1130" s="409"/>
      <c r="F1130" s="409"/>
    </row>
    <row r="1131" spans="5:6">
      <c r="E1131" s="409"/>
      <c r="F1131" s="409"/>
    </row>
    <row r="1132" spans="5:6">
      <c r="E1132" s="409"/>
      <c r="F1132" s="409"/>
    </row>
    <row r="1133" spans="5:6">
      <c r="E1133" s="409"/>
      <c r="F1133" s="409"/>
    </row>
    <row r="1134" spans="5:6">
      <c r="E1134" s="409"/>
      <c r="F1134" s="409"/>
    </row>
    <row r="1135" spans="5:6">
      <c r="E1135" s="409"/>
      <c r="F1135" s="409"/>
    </row>
    <row r="1136" spans="5:6">
      <c r="E1136" s="409"/>
      <c r="F1136" s="409"/>
    </row>
    <row r="1137" spans="5:6">
      <c r="E1137" s="409"/>
      <c r="F1137" s="409"/>
    </row>
    <row r="1138" spans="5:6">
      <c r="E1138" s="409"/>
      <c r="F1138" s="409"/>
    </row>
    <row r="1139" spans="5:6">
      <c r="E1139" s="409"/>
      <c r="F1139" s="409"/>
    </row>
    <row r="1140" spans="5:6">
      <c r="E1140" s="409"/>
      <c r="F1140" s="409"/>
    </row>
    <row r="1141" spans="5:6">
      <c r="E1141" s="409"/>
      <c r="F1141" s="409"/>
    </row>
    <row r="1142" spans="5:6">
      <c r="E1142" s="409"/>
      <c r="F1142" s="409"/>
    </row>
    <row r="1143" spans="5:6">
      <c r="E1143" s="409"/>
      <c r="F1143" s="409"/>
    </row>
    <row r="1144" spans="5:6">
      <c r="E1144" s="409"/>
      <c r="F1144" s="409"/>
    </row>
    <row r="1145" spans="5:6">
      <c r="E1145" s="409"/>
      <c r="F1145" s="409"/>
    </row>
    <row r="1146" spans="5:6">
      <c r="E1146" s="409"/>
      <c r="F1146" s="409"/>
    </row>
    <row r="1147" spans="5:6">
      <c r="E1147" s="409"/>
      <c r="F1147" s="409"/>
    </row>
    <row r="1148" spans="5:6">
      <c r="E1148" s="409"/>
      <c r="F1148" s="409"/>
    </row>
    <row r="1149" spans="5:6">
      <c r="E1149" s="409"/>
      <c r="F1149" s="409"/>
    </row>
    <row r="1150" spans="5:6">
      <c r="E1150" s="409"/>
      <c r="F1150" s="409"/>
    </row>
    <row r="1151" spans="5:6">
      <c r="E1151" s="409"/>
      <c r="F1151" s="409"/>
    </row>
    <row r="1152" spans="5:6">
      <c r="E1152" s="409"/>
      <c r="F1152" s="409"/>
    </row>
    <row r="1153" spans="5:6">
      <c r="E1153" s="409"/>
      <c r="F1153" s="409"/>
    </row>
    <row r="1154" spans="5:6">
      <c r="E1154" s="409"/>
      <c r="F1154" s="409"/>
    </row>
    <row r="1155" spans="5:6">
      <c r="E1155" s="409"/>
      <c r="F1155" s="409"/>
    </row>
    <row r="1156" spans="5:6">
      <c r="E1156" s="409"/>
      <c r="F1156" s="409"/>
    </row>
    <row r="1157" spans="5:6">
      <c r="E1157" s="409"/>
      <c r="F1157" s="409"/>
    </row>
    <row r="1158" spans="5:6">
      <c r="E1158" s="409"/>
      <c r="F1158" s="409"/>
    </row>
    <row r="1159" spans="5:6">
      <c r="E1159" s="409"/>
      <c r="F1159" s="409"/>
    </row>
    <row r="1160" spans="5:6">
      <c r="E1160" s="409"/>
      <c r="F1160" s="409"/>
    </row>
    <row r="1161" spans="5:6">
      <c r="E1161" s="409"/>
      <c r="F1161" s="409"/>
    </row>
    <row r="1162" spans="5:6">
      <c r="E1162" s="409"/>
      <c r="F1162" s="409"/>
    </row>
    <row r="1163" spans="5:6">
      <c r="E1163" s="409"/>
      <c r="F1163" s="409"/>
    </row>
    <row r="1164" spans="5:6">
      <c r="E1164" s="409"/>
      <c r="F1164" s="409"/>
    </row>
    <row r="1165" spans="5:6">
      <c r="E1165" s="409"/>
      <c r="F1165" s="409"/>
    </row>
    <row r="1166" spans="5:6">
      <c r="E1166" s="409"/>
      <c r="F1166" s="409"/>
    </row>
    <row r="1167" spans="5:6">
      <c r="E1167" s="409"/>
      <c r="F1167" s="409"/>
    </row>
    <row r="1168" spans="5:6">
      <c r="E1168" s="409"/>
      <c r="F1168" s="409"/>
    </row>
    <row r="1169" spans="5:6">
      <c r="E1169" s="409"/>
      <c r="F1169" s="409"/>
    </row>
    <row r="1170" spans="5:6">
      <c r="E1170" s="409"/>
      <c r="F1170" s="409"/>
    </row>
    <row r="1171" spans="5:6">
      <c r="E1171" s="409"/>
      <c r="F1171" s="409"/>
    </row>
    <row r="1172" spans="5:6">
      <c r="E1172" s="409"/>
      <c r="F1172" s="409"/>
    </row>
    <row r="1173" spans="5:6">
      <c r="E1173" s="409"/>
      <c r="F1173" s="409"/>
    </row>
    <row r="1174" spans="5:6">
      <c r="E1174" s="409"/>
      <c r="F1174" s="409"/>
    </row>
    <row r="1175" spans="5:6">
      <c r="E1175" s="409"/>
      <c r="F1175" s="409"/>
    </row>
    <row r="1176" spans="5:6">
      <c r="E1176" s="409"/>
      <c r="F1176" s="409"/>
    </row>
    <row r="1177" spans="5:6">
      <c r="E1177" s="409"/>
      <c r="F1177" s="409"/>
    </row>
    <row r="1178" spans="5:6">
      <c r="E1178" s="409"/>
      <c r="F1178" s="409"/>
    </row>
    <row r="1179" spans="5:6">
      <c r="E1179" s="409"/>
      <c r="F1179" s="409"/>
    </row>
    <row r="1180" spans="5:6">
      <c r="E1180" s="409"/>
      <c r="F1180" s="409"/>
    </row>
    <row r="1181" spans="5:6">
      <c r="E1181" s="409"/>
      <c r="F1181" s="409"/>
    </row>
    <row r="1182" spans="5:6">
      <c r="E1182" s="409"/>
      <c r="F1182" s="409"/>
    </row>
    <row r="1183" spans="5:6">
      <c r="E1183" s="409"/>
      <c r="F1183" s="409"/>
    </row>
    <row r="1184" spans="5:6">
      <c r="E1184" s="409"/>
      <c r="F1184" s="409"/>
    </row>
    <row r="1185" spans="5:6">
      <c r="E1185" s="409"/>
      <c r="F1185" s="409"/>
    </row>
    <row r="1186" spans="5:6">
      <c r="E1186" s="409"/>
      <c r="F1186" s="409"/>
    </row>
    <row r="1187" spans="5:6">
      <c r="E1187" s="409"/>
      <c r="F1187" s="409"/>
    </row>
    <row r="1188" spans="5:6">
      <c r="E1188" s="409"/>
      <c r="F1188" s="409"/>
    </row>
    <row r="1189" spans="5:6">
      <c r="E1189" s="409"/>
      <c r="F1189" s="409"/>
    </row>
    <row r="1190" spans="5:6">
      <c r="E1190" s="409"/>
      <c r="F1190" s="409"/>
    </row>
    <row r="1191" spans="5:6">
      <c r="E1191" s="409"/>
      <c r="F1191" s="409"/>
    </row>
    <row r="1192" spans="5:6">
      <c r="E1192" s="409"/>
      <c r="F1192" s="409"/>
    </row>
    <row r="1193" spans="5:6">
      <c r="E1193" s="409"/>
      <c r="F1193" s="409"/>
    </row>
    <row r="1194" spans="5:6">
      <c r="E1194" s="409"/>
      <c r="F1194" s="409"/>
    </row>
    <row r="1195" spans="5:6">
      <c r="E1195" s="409"/>
      <c r="F1195" s="409"/>
    </row>
    <row r="1196" spans="5:6">
      <c r="E1196" s="409"/>
      <c r="F1196" s="409"/>
    </row>
    <row r="1197" spans="5:6">
      <c r="E1197" s="409"/>
      <c r="F1197" s="409"/>
    </row>
    <row r="1198" spans="5:6">
      <c r="E1198" s="409"/>
      <c r="F1198" s="409"/>
    </row>
    <row r="1199" spans="5:6">
      <c r="E1199" s="409"/>
      <c r="F1199" s="409"/>
    </row>
    <row r="1200" spans="5:6">
      <c r="E1200" s="409"/>
      <c r="F1200" s="409"/>
    </row>
  </sheetData>
  <sheetProtection algorithmName="SHA-512" hashValue="z1HoBH5Uh61Faatp4NRnyUfctR022qiJi/27UQsY2vETQDI1rr4M70zFtWz4JpTMgTa/YgNrlBnjn4LkGR9Y8Q==" saltValue="QPYE11FeC5R8l2zf/BDsHg==" spinCount="100000" sheet="1" objects="1" scenarios="1"/>
  <mergeCells count="295">
    <mergeCell ref="B157:D157"/>
    <mergeCell ref="B69:B72"/>
    <mergeCell ref="A86:A89"/>
    <mergeCell ref="B86:B89"/>
    <mergeCell ref="C86:C89"/>
    <mergeCell ref="A90:A92"/>
    <mergeCell ref="B90:B92"/>
    <mergeCell ref="A104:A107"/>
    <mergeCell ref="B113:B114"/>
    <mergeCell ref="C113:C114"/>
    <mergeCell ref="C74:C75"/>
    <mergeCell ref="A144:A145"/>
    <mergeCell ref="B144:B145"/>
    <mergeCell ref="C144:C145"/>
    <mergeCell ref="B141:B142"/>
    <mergeCell ref="C141:C142"/>
    <mergeCell ref="A74:A75"/>
    <mergeCell ref="C131:C132"/>
    <mergeCell ref="A2:V2"/>
    <mergeCell ref="P17:P20"/>
    <mergeCell ref="Q17:Q20"/>
    <mergeCell ref="R17:R20"/>
    <mergeCell ref="S17:S20"/>
    <mergeCell ref="T17:T20"/>
    <mergeCell ref="B4:V4"/>
    <mergeCell ref="B5:V5"/>
    <mergeCell ref="B6:V6"/>
    <mergeCell ref="B7:T7"/>
    <mergeCell ref="B8:T8"/>
    <mergeCell ref="A11:T11"/>
    <mergeCell ref="U17:U20"/>
    <mergeCell ref="N17:N22"/>
    <mergeCell ref="V17:V22"/>
    <mergeCell ref="B14:B15"/>
    <mergeCell ref="C14:C15"/>
    <mergeCell ref="A14:A15"/>
    <mergeCell ref="C17:C20"/>
    <mergeCell ref="H14:H15"/>
    <mergeCell ref="U21:U22"/>
    <mergeCell ref="K14:K15"/>
    <mergeCell ref="A10:L10"/>
    <mergeCell ref="V26:V33"/>
    <mergeCell ref="R28:R33"/>
    <mergeCell ref="S28:S33"/>
    <mergeCell ref="T28:T33"/>
    <mergeCell ref="N26:N33"/>
    <mergeCell ref="O28:O33"/>
    <mergeCell ref="P28:P33"/>
    <mergeCell ref="U26:U27"/>
    <mergeCell ref="U28:U33"/>
    <mergeCell ref="T26:T27"/>
    <mergeCell ref="Q28:Q33"/>
    <mergeCell ref="A26:A27"/>
    <mergeCell ref="B26:B27"/>
    <mergeCell ref="C26:C27"/>
    <mergeCell ref="C21:C22"/>
    <mergeCell ref="A38:A39"/>
    <mergeCell ref="B66:B67"/>
    <mergeCell ref="B64:B65"/>
    <mergeCell ref="A41:A42"/>
    <mergeCell ref="A64:A73"/>
    <mergeCell ref="A60:A63"/>
    <mergeCell ref="C41:C42"/>
    <mergeCell ref="B41:B42"/>
    <mergeCell ref="B31:B33"/>
    <mergeCell ref="B28:B30"/>
    <mergeCell ref="A28:A33"/>
    <mergeCell ref="C28:C33"/>
    <mergeCell ref="B21:B22"/>
    <mergeCell ref="B50:B52"/>
    <mergeCell ref="I14:I15"/>
    <mergeCell ref="J14:J15"/>
    <mergeCell ref="B54:B59"/>
    <mergeCell ref="C54:C59"/>
    <mergeCell ref="B38:B39"/>
    <mergeCell ref="B34:B37"/>
    <mergeCell ref="B43:B47"/>
    <mergeCell ref="C43:C47"/>
    <mergeCell ref="P26:P27"/>
    <mergeCell ref="O43:O47"/>
    <mergeCell ref="P34:P37"/>
    <mergeCell ref="P43:P47"/>
    <mergeCell ref="N14:N15"/>
    <mergeCell ref="L14:L15"/>
    <mergeCell ref="M14:M15"/>
    <mergeCell ref="D14:D15"/>
    <mergeCell ref="E14:E15"/>
    <mergeCell ref="F14:F15"/>
    <mergeCell ref="G14:G15"/>
    <mergeCell ref="O17:O20"/>
    <mergeCell ref="O26:O27"/>
    <mergeCell ref="O21:O22"/>
    <mergeCell ref="P21:P22"/>
    <mergeCell ref="V34:V37"/>
    <mergeCell ref="V77:V80"/>
    <mergeCell ref="V86:V89"/>
    <mergeCell ref="V60:V63"/>
    <mergeCell ref="V90:V92"/>
    <mergeCell ref="V141:V142"/>
    <mergeCell ref="V14:V15"/>
    <mergeCell ref="O14:O15"/>
    <mergeCell ref="P14:P15"/>
    <mergeCell ref="Q14:Q15"/>
    <mergeCell ref="Q26:Q27"/>
    <mergeCell ref="R26:R27"/>
    <mergeCell ref="Q34:Q37"/>
    <mergeCell ref="R34:R37"/>
    <mergeCell ref="S34:S37"/>
    <mergeCell ref="T34:T37"/>
    <mergeCell ref="S43:S47"/>
    <mergeCell ref="T43:T47"/>
    <mergeCell ref="R14:U14"/>
    <mergeCell ref="T21:T22"/>
    <mergeCell ref="Q21:Q22"/>
    <mergeCell ref="R21:R22"/>
    <mergeCell ref="S21:S22"/>
    <mergeCell ref="S26:S27"/>
    <mergeCell ref="N144:N145"/>
    <mergeCell ref="N150:N152"/>
    <mergeCell ref="N131:N132"/>
    <mergeCell ref="R113:R114"/>
    <mergeCell ref="O97:O101"/>
    <mergeCell ref="P97:P101"/>
    <mergeCell ref="A77:A80"/>
    <mergeCell ref="V144:V145"/>
    <mergeCell ref="V104:V107"/>
    <mergeCell ref="V97:V101"/>
    <mergeCell ref="V108:V111"/>
    <mergeCell ref="T77:T80"/>
    <mergeCell ref="Q144:Q145"/>
    <mergeCell ref="R144:R145"/>
    <mergeCell ref="O144:O145"/>
    <mergeCell ref="P144:P145"/>
    <mergeCell ref="P108:P111"/>
    <mergeCell ref="T113:T114"/>
    <mergeCell ref="O113:O114"/>
    <mergeCell ref="P113:P114"/>
    <mergeCell ref="Q113:Q114"/>
    <mergeCell ref="S141:S142"/>
    <mergeCell ref="T141:T142"/>
    <mergeCell ref="Q97:Q101"/>
    <mergeCell ref="N34:N37"/>
    <mergeCell ref="N43:N47"/>
    <mergeCell ref="N54:N59"/>
    <mergeCell ref="N60:N63"/>
    <mergeCell ref="N77:N80"/>
    <mergeCell ref="N86:N89"/>
    <mergeCell ref="N90:N92"/>
    <mergeCell ref="N97:N101"/>
    <mergeCell ref="N104:N107"/>
    <mergeCell ref="V150:V152"/>
    <mergeCell ref="B166:D166"/>
    <mergeCell ref="T150:T152"/>
    <mergeCell ref="B165:D165"/>
    <mergeCell ref="B163:D163"/>
    <mergeCell ref="B164:D164"/>
    <mergeCell ref="C150:C152"/>
    <mergeCell ref="B155:D155"/>
    <mergeCell ref="B158:D158"/>
    <mergeCell ref="B154:D154"/>
    <mergeCell ref="B156:D156"/>
    <mergeCell ref="A153:D153"/>
    <mergeCell ref="B159:D159"/>
    <mergeCell ref="B160:D160"/>
    <mergeCell ref="B161:D161"/>
    <mergeCell ref="B162:D162"/>
    <mergeCell ref="A154:A166"/>
    <mergeCell ref="S150:S152"/>
    <mergeCell ref="O150:O152"/>
    <mergeCell ref="P150:P152"/>
    <mergeCell ref="Q150:Q152"/>
    <mergeCell ref="R150:R152"/>
    <mergeCell ref="A150:A152"/>
    <mergeCell ref="B150:B152"/>
    <mergeCell ref="A131:A132"/>
    <mergeCell ref="B131:B132"/>
    <mergeCell ref="O141:O142"/>
    <mergeCell ref="P141:P142"/>
    <mergeCell ref="Q141:Q142"/>
    <mergeCell ref="R141:R142"/>
    <mergeCell ref="A141:A142"/>
    <mergeCell ref="C97:C101"/>
    <mergeCell ref="A113:A114"/>
    <mergeCell ref="N108:N111"/>
    <mergeCell ref="N113:N114"/>
    <mergeCell ref="N141:N142"/>
    <mergeCell ref="R97:R101"/>
    <mergeCell ref="P131:P132"/>
    <mergeCell ref="Q131:Q132"/>
    <mergeCell ref="R131:R132"/>
    <mergeCell ref="A1:F1"/>
    <mergeCell ref="H1:O1"/>
    <mergeCell ref="A108:A111"/>
    <mergeCell ref="B108:B111"/>
    <mergeCell ref="C108:C111"/>
    <mergeCell ref="O108:O111"/>
    <mergeCell ref="O90:O92"/>
    <mergeCell ref="B104:B107"/>
    <mergeCell ref="C104:C107"/>
    <mergeCell ref="O104:O107"/>
    <mergeCell ref="A93:A94"/>
    <mergeCell ref="O74:O75"/>
    <mergeCell ref="A54:A59"/>
    <mergeCell ref="A43:A47"/>
    <mergeCell ref="A34:A37"/>
    <mergeCell ref="A21:A22"/>
    <mergeCell ref="A17:A20"/>
    <mergeCell ref="B17:B20"/>
    <mergeCell ref="B93:B94"/>
    <mergeCell ref="A95:A96"/>
    <mergeCell ref="B95:B96"/>
    <mergeCell ref="O86:O89"/>
    <mergeCell ref="B84:B85"/>
    <mergeCell ref="A97:A101"/>
    <mergeCell ref="B60:B63"/>
    <mergeCell ref="C60:C63"/>
    <mergeCell ref="O60:O63"/>
    <mergeCell ref="T97:T101"/>
    <mergeCell ref="T104:T107"/>
    <mergeCell ref="P74:P75"/>
    <mergeCell ref="P90:P92"/>
    <mergeCell ref="Q90:Q92"/>
    <mergeCell ref="R90:R92"/>
    <mergeCell ref="S90:S92"/>
    <mergeCell ref="T90:T92"/>
    <mergeCell ref="C81:C85"/>
    <mergeCell ref="T74:T75"/>
    <mergeCell ref="T60:T63"/>
    <mergeCell ref="S97:S101"/>
    <mergeCell ref="B81:B82"/>
    <mergeCell ref="B77:B80"/>
    <mergeCell ref="Q86:Q89"/>
    <mergeCell ref="C90:C92"/>
    <mergeCell ref="B97:B101"/>
    <mergeCell ref="O77:O80"/>
    <mergeCell ref="O131:O132"/>
    <mergeCell ref="C34:C37"/>
    <mergeCell ref="P104:P107"/>
    <mergeCell ref="Q104:Q107"/>
    <mergeCell ref="R104:R107"/>
    <mergeCell ref="S104:S107"/>
    <mergeCell ref="R77:R80"/>
    <mergeCell ref="S77:S80"/>
    <mergeCell ref="R86:R89"/>
    <mergeCell ref="S86:S89"/>
    <mergeCell ref="P54:P59"/>
    <mergeCell ref="O54:O59"/>
    <mergeCell ref="Q74:Q75"/>
    <mergeCell ref="R74:R75"/>
    <mergeCell ref="S74:S75"/>
    <mergeCell ref="S60:S63"/>
    <mergeCell ref="P60:P63"/>
    <mergeCell ref="Q60:Q63"/>
    <mergeCell ref="R60:R63"/>
    <mergeCell ref="P86:P89"/>
    <mergeCell ref="C77:C80"/>
    <mergeCell ref="P77:P80"/>
    <mergeCell ref="Q77:Q80"/>
    <mergeCell ref="O34:O37"/>
    <mergeCell ref="R43:R47"/>
    <mergeCell ref="T86:T89"/>
    <mergeCell ref="U97:U101"/>
    <mergeCell ref="U104:U107"/>
    <mergeCell ref="U113:U114"/>
    <mergeCell ref="U141:U142"/>
    <mergeCell ref="S144:S145"/>
    <mergeCell ref="T144:T145"/>
    <mergeCell ref="T131:T132"/>
    <mergeCell ref="U131:U132"/>
    <mergeCell ref="S113:S114"/>
    <mergeCell ref="S131:S132"/>
    <mergeCell ref="Q57:Q58"/>
    <mergeCell ref="S57:S58"/>
    <mergeCell ref="T57:T58"/>
    <mergeCell ref="U57:U58"/>
    <mergeCell ref="V43:V59"/>
    <mergeCell ref="N153:V153"/>
    <mergeCell ref="V113:V132"/>
    <mergeCell ref="U144:U145"/>
    <mergeCell ref="U34:U37"/>
    <mergeCell ref="O41:O42"/>
    <mergeCell ref="U43:U47"/>
    <mergeCell ref="U60:U63"/>
    <mergeCell ref="U90:U92"/>
    <mergeCell ref="Q108:Q109"/>
    <mergeCell ref="S108:S109"/>
    <mergeCell ref="T108:T109"/>
    <mergeCell ref="U108:U109"/>
    <mergeCell ref="Q54:Q55"/>
    <mergeCell ref="S54:S55"/>
    <mergeCell ref="T54:T55"/>
    <mergeCell ref="U54:U55"/>
    <mergeCell ref="U86:U89"/>
    <mergeCell ref="U77:U80"/>
    <mergeCell ref="Q43:Q47"/>
  </mergeCells>
  <conditionalFormatting sqref="G15:H15 E14:H14 K14:L15 N14:O14">
    <cfRule type="dataBar" priority="6">
      <dataBar>
        <cfvo type="min"/>
        <cfvo type="max"/>
        <color rgb="FF638EC6"/>
      </dataBar>
      <extLst>
        <ext xmlns:x14="http://schemas.microsoft.com/office/spreadsheetml/2009/9/main" uri="{B025F937-C7B1-47D3-B67F-A62EFF666E3E}">
          <x14:id>{E5A32450-3EF7-4A95-BF8A-8AC7E1B58B86}</x14:id>
        </ext>
      </extLst>
    </cfRule>
  </conditionalFormatting>
  <conditionalFormatting sqref="I14:J14">
    <cfRule type="dataBar" priority="4">
      <dataBar>
        <cfvo type="min"/>
        <cfvo type="max"/>
        <color rgb="FF638EC6"/>
      </dataBar>
      <extLst>
        <ext xmlns:x14="http://schemas.microsoft.com/office/spreadsheetml/2009/9/main" uri="{B025F937-C7B1-47D3-B67F-A62EFF666E3E}">
          <x14:id>{032339AF-CE9B-493B-A0FE-15DD2482DCEA}</x14:id>
        </ext>
      </extLst>
    </cfRule>
  </conditionalFormatting>
  <conditionalFormatting sqref="J15">
    <cfRule type="dataBar" priority="3">
      <dataBar>
        <cfvo type="min"/>
        <cfvo type="max"/>
        <color rgb="FF638EC6"/>
      </dataBar>
      <extLst>
        <ext xmlns:x14="http://schemas.microsoft.com/office/spreadsheetml/2009/9/main" uri="{B025F937-C7B1-47D3-B67F-A62EFF666E3E}">
          <x14:id>{8C2CBDA6-BCDA-4F99-A18C-B53169EAA9B1}</x14:id>
        </ext>
      </extLst>
    </cfRule>
  </conditionalFormatting>
  <conditionalFormatting sqref="M14">
    <cfRule type="dataBar" priority="2">
      <dataBar>
        <cfvo type="min"/>
        <cfvo type="max"/>
        <color rgb="FF638EC6"/>
      </dataBar>
      <extLst>
        <ext xmlns:x14="http://schemas.microsoft.com/office/spreadsheetml/2009/9/main" uri="{B025F937-C7B1-47D3-B67F-A62EFF666E3E}">
          <x14:id>{69C40055-CBC7-4730-B46F-CD4D2F1F3E4E}</x14:id>
        </ext>
      </extLst>
    </cfRule>
  </conditionalFormatting>
  <conditionalFormatting sqref="M15">
    <cfRule type="dataBar" priority="1">
      <dataBar>
        <cfvo type="min"/>
        <cfvo type="max"/>
        <color rgb="FF638EC6"/>
      </dataBar>
      <extLst>
        <ext xmlns:x14="http://schemas.microsoft.com/office/spreadsheetml/2009/9/main" uri="{B025F937-C7B1-47D3-B67F-A62EFF666E3E}">
          <x14:id>{419F7C50-C3BD-4883-B62E-6EDBCF02DEB1}</x14:id>
        </ext>
      </extLst>
    </cfRule>
  </conditionalFormatting>
  <pageMargins left="0.7" right="0.7" top="0.75" bottom="0.75" header="0.3" footer="0.3"/>
  <pageSetup paperSize="8" scale="62" fitToHeight="0" orientation="landscape" r:id="rId1"/>
  <extLst>
    <ext xmlns:x14="http://schemas.microsoft.com/office/spreadsheetml/2009/9/main" uri="{78C0D931-6437-407d-A8EE-F0AAD7539E65}">
      <x14:conditionalFormattings>
        <x14:conditionalFormatting xmlns:xm="http://schemas.microsoft.com/office/excel/2006/main">
          <x14:cfRule type="dataBar" id="{E5A32450-3EF7-4A95-BF8A-8AC7E1B58B86}">
            <x14:dataBar minLength="0" maxLength="100" border="1" negativeBarBorderColorSameAsPositive="0">
              <x14:cfvo type="autoMin"/>
              <x14:cfvo type="autoMax"/>
              <x14:borderColor rgb="FF638EC6"/>
              <x14:negativeFillColor rgb="FFFF0000"/>
              <x14:negativeBorderColor rgb="FFFF0000"/>
              <x14:axisColor rgb="FF000000"/>
            </x14:dataBar>
          </x14:cfRule>
          <xm:sqref>G15:H15 E14:H14 K14:L15 N14:O14</xm:sqref>
        </x14:conditionalFormatting>
        <x14:conditionalFormatting xmlns:xm="http://schemas.microsoft.com/office/excel/2006/main">
          <x14:cfRule type="dataBar" id="{032339AF-CE9B-493B-A0FE-15DD2482DCEA}">
            <x14:dataBar minLength="0" maxLength="100" border="1" negativeBarBorderColorSameAsPositive="0">
              <x14:cfvo type="autoMin"/>
              <x14:cfvo type="autoMax"/>
              <x14:borderColor rgb="FF638EC6"/>
              <x14:negativeFillColor rgb="FFFF0000"/>
              <x14:negativeBorderColor rgb="FFFF0000"/>
              <x14:axisColor rgb="FF000000"/>
            </x14:dataBar>
          </x14:cfRule>
          <xm:sqref>I14:J14</xm:sqref>
        </x14:conditionalFormatting>
        <x14:conditionalFormatting xmlns:xm="http://schemas.microsoft.com/office/excel/2006/main">
          <x14:cfRule type="dataBar" id="{8C2CBDA6-BCDA-4F99-A18C-B53169EAA9B1}">
            <x14:dataBar minLength="0" maxLength="100" border="1" negativeBarBorderColorSameAsPositive="0">
              <x14:cfvo type="autoMin"/>
              <x14:cfvo type="autoMax"/>
              <x14:borderColor rgb="FF638EC6"/>
              <x14:negativeFillColor rgb="FFFF0000"/>
              <x14:negativeBorderColor rgb="FFFF0000"/>
              <x14:axisColor rgb="FF000000"/>
            </x14:dataBar>
          </x14:cfRule>
          <xm:sqref>J15</xm:sqref>
        </x14:conditionalFormatting>
        <x14:conditionalFormatting xmlns:xm="http://schemas.microsoft.com/office/excel/2006/main">
          <x14:cfRule type="dataBar" id="{69C40055-CBC7-4730-B46F-CD4D2F1F3E4E}">
            <x14:dataBar minLength="0" maxLength="100" border="1" negativeBarBorderColorSameAsPositive="0">
              <x14:cfvo type="autoMin"/>
              <x14:cfvo type="autoMax"/>
              <x14:borderColor rgb="FF638EC6"/>
              <x14:negativeFillColor rgb="FFFF0000"/>
              <x14:negativeBorderColor rgb="FFFF0000"/>
              <x14:axisColor rgb="FF000000"/>
            </x14:dataBar>
          </x14:cfRule>
          <xm:sqref>M14</xm:sqref>
        </x14:conditionalFormatting>
        <x14:conditionalFormatting xmlns:xm="http://schemas.microsoft.com/office/excel/2006/main">
          <x14:cfRule type="dataBar" id="{419F7C50-C3BD-4883-B62E-6EDBCF02DEB1}">
            <x14:dataBar minLength="0" maxLength="100" border="1" negativeBarBorderColorSameAsPositive="0">
              <x14:cfvo type="autoMin"/>
              <x14:cfvo type="autoMax"/>
              <x14:borderColor rgb="FF638EC6"/>
              <x14:negativeFillColor rgb="FFFF0000"/>
              <x14:negativeBorderColor rgb="FFFF0000"/>
              <x14:axisColor rgb="FF000000"/>
            </x14:dataBar>
          </x14:cfRule>
          <xm:sqref>M15</xm:sqref>
        </x14:conditionalFormatting>
      </x14:conditionalFormatting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6EF1A-E9CF-4D17-87A0-4DB135A69904}">
  <sheetPr>
    <pageSetUpPr fitToPage="1"/>
  </sheetPr>
  <dimension ref="A1:Y212"/>
  <sheetViews>
    <sheetView zoomScaleNormal="100" zoomScaleSheetLayoutView="90" workbookViewId="0">
      <selection activeCell="AD19" sqref="AD19"/>
    </sheetView>
  </sheetViews>
  <sheetFormatPr defaultColWidth="9.140625" defaultRowHeight="21" customHeight="1"/>
  <cols>
    <col min="1" max="1" width="16.28515625" style="87" customWidth="1"/>
    <col min="2" max="2" width="33.42578125" style="87" customWidth="1"/>
    <col min="3" max="3" width="4.28515625" style="87" hidden="1" customWidth="1"/>
    <col min="4" max="4" width="6.7109375" style="87" customWidth="1"/>
    <col min="5" max="7" width="16.28515625" style="87" hidden="1" customWidth="1"/>
    <col min="8" max="8" width="17.42578125" style="87" customWidth="1"/>
    <col min="9" max="10" width="17.85546875" style="87" customWidth="1"/>
    <col min="11" max="11" width="12.28515625" style="125" customWidth="1"/>
    <col min="12" max="12" width="75.140625" style="87" customWidth="1"/>
    <col min="13" max="13" width="14" style="87" customWidth="1"/>
    <col min="14" max="14" width="32.85546875" style="87" customWidth="1"/>
    <col min="15" max="15" width="6.28515625" style="125" hidden="1" customWidth="1"/>
    <col min="16" max="18" width="6.28515625" style="125" customWidth="1"/>
    <col min="19" max="19" width="13.140625" style="87" hidden="1" customWidth="1"/>
    <col min="20" max="20" width="21.140625" style="87" hidden="1" customWidth="1"/>
    <col min="21" max="21" width="23.140625" style="87" hidden="1" customWidth="1"/>
    <col min="22" max="22" width="8.85546875" style="87" hidden="1" customWidth="1"/>
    <col min="23" max="23" width="0" style="87" hidden="1" customWidth="1"/>
    <col min="24" max="16384" width="9.140625" style="87"/>
  </cols>
  <sheetData>
    <row r="1" spans="1:20" ht="15" customHeight="1">
      <c r="A1" s="2804" t="s">
        <v>2207</v>
      </c>
      <c r="B1" s="2804"/>
      <c r="C1" s="2804"/>
      <c r="D1" s="2804"/>
      <c r="E1" s="2804"/>
      <c r="F1" s="2804"/>
      <c r="G1" s="2804"/>
      <c r="H1" s="2804"/>
      <c r="I1" s="2804"/>
      <c r="J1" s="2804"/>
      <c r="K1" s="2804"/>
      <c r="L1" s="457"/>
      <c r="O1" s="3327"/>
      <c r="P1" s="3327"/>
      <c r="Q1" s="3327"/>
      <c r="R1" s="3327"/>
      <c r="S1" s="3327"/>
      <c r="T1" s="3327"/>
    </row>
    <row r="2" spans="1:20" ht="23.25" customHeight="1">
      <c r="A2" s="2474" t="s">
        <v>3244</v>
      </c>
      <c r="B2" s="2331"/>
      <c r="C2" s="2331"/>
      <c r="D2" s="2331"/>
      <c r="E2" s="2331"/>
      <c r="F2" s="2331"/>
      <c r="G2" s="2331"/>
      <c r="H2" s="2331"/>
      <c r="I2" s="2331"/>
      <c r="J2" s="2331"/>
      <c r="K2" s="2331"/>
      <c r="L2" s="2331"/>
      <c r="M2" s="2331"/>
      <c r="N2" s="2331"/>
      <c r="O2" s="2331"/>
      <c r="P2" s="2331"/>
      <c r="Q2" s="2331"/>
      <c r="R2" s="2331"/>
      <c r="S2" s="2331"/>
      <c r="T2" s="2331"/>
    </row>
    <row r="3" spans="1:20" ht="10.5" customHeight="1">
      <c r="A3" s="931"/>
      <c r="B3" s="103"/>
      <c r="C3" s="103"/>
      <c r="D3" s="103"/>
      <c r="E3" s="103"/>
      <c r="F3" s="103"/>
      <c r="G3" s="103"/>
      <c r="H3" s="103"/>
      <c r="I3" s="103"/>
      <c r="J3" s="103"/>
      <c r="K3" s="1249"/>
      <c r="L3" s="103"/>
      <c r="M3" s="103"/>
      <c r="N3" s="103"/>
      <c r="O3" s="103"/>
      <c r="P3" s="103"/>
      <c r="Q3" s="103"/>
      <c r="R3" s="103"/>
      <c r="S3" s="103"/>
      <c r="T3" s="103"/>
    </row>
    <row r="4" spans="1:20" ht="14.25" customHeight="1">
      <c r="A4" s="89" t="str">
        <f>A19</f>
        <v>09.01.01. (T)</v>
      </c>
      <c r="B4" s="89" t="str">
        <f>B19</f>
        <v>Sudaryti kuo palankesnes sąlygas pradėti ir plėtoti verslą, skatinti jaunimo verslumą bei didinti gyventojų užimtumą</v>
      </c>
      <c r="C4" s="89"/>
      <c r="D4" s="89"/>
      <c r="E4" s="89"/>
      <c r="F4" s="89"/>
      <c r="G4" s="89"/>
      <c r="H4" s="89"/>
      <c r="I4" s="156"/>
      <c r="J4" s="156"/>
      <c r="K4" s="2032"/>
    </row>
    <row r="5" spans="1:20" ht="11.25" customHeight="1">
      <c r="A5" s="89" t="str">
        <f>A50</f>
        <v>09.02.01.(T)</v>
      </c>
      <c r="B5" s="89" t="str">
        <f>B50</f>
        <v>Pritraukti ES ir kitų fondų lėšas miesto plėtros projektams įgyvendinti</v>
      </c>
      <c r="C5" s="89"/>
      <c r="D5" s="89"/>
      <c r="E5" s="89"/>
      <c r="F5" s="89"/>
      <c r="G5" s="89"/>
      <c r="H5" s="89"/>
      <c r="I5" s="156"/>
      <c r="J5" s="156"/>
      <c r="K5" s="2032"/>
    </row>
    <row r="6" spans="1:20" ht="11.25" customHeight="1">
      <c r="A6" s="89" t="str">
        <f>A57</f>
        <v>09.02.02. (T)</v>
      </c>
      <c r="B6" s="89" t="str">
        <f>B57</f>
        <v>Kurti aplinką, kuri sąlygotų investicijų 
pritraukimą</v>
      </c>
      <c r="C6" s="89"/>
      <c r="D6" s="89"/>
      <c r="E6" s="89"/>
      <c r="F6" s="89"/>
      <c r="G6" s="89"/>
      <c r="H6" s="89"/>
      <c r="I6" s="156"/>
      <c r="J6" s="156"/>
      <c r="K6" s="2032"/>
    </row>
    <row r="7" spans="1:20" ht="11.25" customHeight="1">
      <c r="A7" s="89" t="str">
        <f>A74</f>
        <v>09.02.03. (T)</v>
      </c>
      <c r="B7" s="89" t="str">
        <f>B74</f>
        <v>Savivaldybės ekonominės plėtros gairių specializacijų vystymas</v>
      </c>
      <c r="C7" s="89"/>
      <c r="D7" s="89"/>
      <c r="E7" s="89"/>
      <c r="F7" s="89"/>
      <c r="G7" s="89"/>
      <c r="H7" s="89"/>
      <c r="I7" s="156"/>
      <c r="J7" s="156"/>
      <c r="K7" s="2032"/>
    </row>
    <row r="8" spans="1:20" ht="12.75" customHeight="1">
      <c r="A8" s="89" t="str">
        <f>A86</f>
        <v>09.03.01. (PP,TP)</v>
      </c>
      <c r="B8" s="89" t="str">
        <f>B86</f>
        <v>Plėsti turizmo, rekreacijos, 
poilsio ir paslaugų infrastruktūrą</v>
      </c>
      <c r="C8" s="89"/>
      <c r="D8" s="89"/>
      <c r="E8" s="89"/>
      <c r="F8" s="89"/>
      <c r="G8" s="89"/>
      <c r="H8" s="89"/>
      <c r="I8" s="156"/>
      <c r="J8" s="156"/>
      <c r="K8" s="2032"/>
    </row>
    <row r="9" spans="1:20" ht="12.75" customHeight="1">
      <c r="A9" s="89" t="str">
        <f>A161</f>
        <v>09.03.02. (T)</v>
      </c>
      <c r="B9" s="89" t="str">
        <f>B161</f>
        <v>Užtikrinti turizmo informacijos sklaidą, skatinti turizmo plėtrą savivaldybėje</v>
      </c>
      <c r="C9" s="89"/>
      <c r="D9" s="89"/>
      <c r="E9" s="89"/>
      <c r="F9" s="89"/>
      <c r="G9" s="89"/>
      <c r="H9" s="89"/>
      <c r="I9" s="156"/>
      <c r="J9" s="156"/>
      <c r="K9" s="2032"/>
    </row>
    <row r="10" spans="1:20" ht="17.25" customHeight="1">
      <c r="A10" s="89" t="str">
        <f>A184</f>
        <v>09.04.01. (P)</v>
      </c>
      <c r="B10" s="89" t="str">
        <f>B184</f>
        <v>Įgyvendinti funkcinės
 zonos Visagino, Ignalinos ir Zarasų rajonų savivaldybių teritorijose strategiją</v>
      </c>
      <c r="C10" s="89"/>
      <c r="D10" s="89"/>
      <c r="E10" s="89"/>
      <c r="F10" s="89"/>
      <c r="G10" s="89"/>
      <c r="H10" s="89"/>
      <c r="I10" s="156"/>
      <c r="J10" s="156"/>
      <c r="K10" s="2032"/>
    </row>
    <row r="11" spans="1:20" ht="15.75" customHeight="1">
      <c r="A11" s="89"/>
      <c r="B11" s="89"/>
      <c r="C11" s="89"/>
      <c r="D11" s="89"/>
      <c r="E11" s="89"/>
      <c r="F11" s="89"/>
      <c r="G11" s="89"/>
      <c r="H11" s="89"/>
    </row>
    <row r="12" spans="1:20" ht="19.5" customHeight="1">
      <c r="A12" s="2781" t="s">
        <v>3098</v>
      </c>
      <c r="B12" s="2781"/>
      <c r="C12" s="2781"/>
      <c r="D12" s="2781"/>
      <c r="E12" s="99"/>
      <c r="F12" s="99"/>
      <c r="G12" s="99"/>
      <c r="H12" s="83"/>
      <c r="I12" s="83"/>
      <c r="J12" s="83"/>
      <c r="K12" s="1484"/>
      <c r="L12" s="83"/>
      <c r="O12" s="458"/>
      <c r="P12" s="458"/>
      <c r="Q12" s="458"/>
      <c r="R12" s="458"/>
      <c r="S12" s="99"/>
      <c r="T12" s="99"/>
    </row>
    <row r="13" spans="1:20" ht="10.5" customHeight="1">
      <c r="A13" s="112"/>
      <c r="B13" s="112"/>
      <c r="C13" s="112"/>
      <c r="D13" s="112"/>
      <c r="E13" s="99"/>
      <c r="F13" s="99"/>
      <c r="G13" s="99"/>
      <c r="H13" s="83"/>
      <c r="I13" s="83"/>
      <c r="J13" s="83"/>
      <c r="K13" s="1484"/>
      <c r="L13" s="83"/>
      <c r="O13" s="458"/>
      <c r="P13" s="458"/>
      <c r="Q13" s="458"/>
      <c r="R13" s="458"/>
      <c r="S13" s="99"/>
      <c r="T13" s="99"/>
    </row>
    <row r="14" spans="1:20" ht="41.25" customHeight="1">
      <c r="A14" s="2781" t="s">
        <v>4246</v>
      </c>
      <c r="B14" s="2781"/>
      <c r="C14" s="2781"/>
      <c r="D14" s="2781"/>
      <c r="E14" s="2781"/>
      <c r="F14" s="2781"/>
      <c r="G14" s="2781"/>
      <c r="H14" s="2781"/>
      <c r="I14" s="2781"/>
      <c r="J14" s="2781"/>
      <c r="K14" s="2781"/>
      <c r="L14" s="2781"/>
      <c r="M14" s="2781"/>
      <c r="N14" s="2781"/>
      <c r="O14" s="2781"/>
      <c r="P14" s="2781"/>
      <c r="Q14" s="2781"/>
      <c r="R14" s="2781"/>
      <c r="S14" s="2781"/>
      <c r="T14" s="2781"/>
    </row>
    <row r="15" spans="1:20" ht="8.25" customHeight="1"/>
    <row r="16" spans="1:20" ht="15.75" customHeight="1">
      <c r="A16" s="89" t="s">
        <v>4188</v>
      </c>
      <c r="B16" s="156"/>
      <c r="C16" s="156"/>
      <c r="D16" s="156"/>
      <c r="E16" s="156"/>
      <c r="F16" s="156"/>
      <c r="G16" s="156"/>
      <c r="H16" s="156"/>
      <c r="I16" s="156"/>
      <c r="J16" s="156"/>
    </row>
    <row r="17" spans="1:21" s="459" customFormat="1" ht="34.5" customHeight="1">
      <c r="A17" s="2359" t="s">
        <v>730</v>
      </c>
      <c r="B17" s="2359" t="s">
        <v>2013</v>
      </c>
      <c r="C17" s="2773" t="s">
        <v>1072</v>
      </c>
      <c r="D17" s="2748" t="s">
        <v>1073</v>
      </c>
      <c r="E17" s="2359" t="s">
        <v>2163</v>
      </c>
      <c r="F17" s="2445" t="s">
        <v>3099</v>
      </c>
      <c r="G17" s="2445" t="s">
        <v>3100</v>
      </c>
      <c r="H17" s="2359" t="s">
        <v>2186</v>
      </c>
      <c r="I17" s="2359" t="s">
        <v>2187</v>
      </c>
      <c r="J17" s="2359" t="s">
        <v>3097</v>
      </c>
      <c r="K17" s="2359" t="s">
        <v>2052</v>
      </c>
      <c r="L17" s="2483" t="s">
        <v>2921</v>
      </c>
      <c r="M17" s="2359" t="s">
        <v>731</v>
      </c>
      <c r="N17" s="2359" t="s">
        <v>1093</v>
      </c>
      <c r="O17" s="2481" t="s">
        <v>732</v>
      </c>
      <c r="P17" s="3320"/>
      <c r="Q17" s="3320"/>
      <c r="R17" s="2483"/>
      <c r="S17" s="2481" t="s">
        <v>733</v>
      </c>
      <c r="T17" s="2483"/>
    </row>
    <row r="18" spans="1:21" s="459" customFormat="1" ht="63.75" customHeight="1">
      <c r="A18" s="2360"/>
      <c r="B18" s="2360"/>
      <c r="C18" s="2774"/>
      <c r="D18" s="2749"/>
      <c r="E18" s="2360"/>
      <c r="F18" s="2446"/>
      <c r="G18" s="2446"/>
      <c r="H18" s="2360"/>
      <c r="I18" s="2360"/>
      <c r="J18" s="2360"/>
      <c r="K18" s="2360"/>
      <c r="L18" s="2484"/>
      <c r="M18" s="2360"/>
      <c r="N18" s="2360"/>
      <c r="O18" s="455">
        <v>2024</v>
      </c>
      <c r="P18" s="455">
        <v>2025</v>
      </c>
      <c r="Q18" s="455">
        <v>2026</v>
      </c>
      <c r="R18" s="455">
        <v>2027</v>
      </c>
      <c r="S18" s="2482"/>
      <c r="T18" s="2484"/>
    </row>
    <row r="19" spans="1:21" ht="59.25" customHeight="1">
      <c r="A19" s="1017" t="s">
        <v>2188</v>
      </c>
      <c r="B19" s="954" t="s">
        <v>2482</v>
      </c>
      <c r="C19" s="1017"/>
      <c r="D19" s="1017"/>
      <c r="E19" s="1095">
        <f>SUM(E25,E31,E33,E35,E37,E40,E43,)</f>
        <v>270.06</v>
      </c>
      <c r="F19" s="1885">
        <f>H19/E19-1</f>
        <v>0.25453602903058581</v>
      </c>
      <c r="G19" s="1886">
        <f t="shared" ref="G19:J19" si="0">SUM(G25,G31,G33,G35,G37,G40,G43,)</f>
        <v>374.322</v>
      </c>
      <c r="H19" s="1095">
        <f t="shared" si="0"/>
        <v>338.8</v>
      </c>
      <c r="I19" s="1095">
        <f t="shared" si="0"/>
        <v>1493.6759999999999</v>
      </c>
      <c r="J19" s="1095">
        <f t="shared" si="0"/>
        <v>820.57500000000005</v>
      </c>
      <c r="K19" s="183" t="s">
        <v>2483</v>
      </c>
      <c r="L19" s="1017"/>
      <c r="M19" s="999" t="s">
        <v>1606</v>
      </c>
      <c r="N19" s="970" t="s">
        <v>825</v>
      </c>
      <c r="O19" s="970">
        <v>14.78</v>
      </c>
      <c r="P19" s="970" t="s">
        <v>3695</v>
      </c>
      <c r="Q19" s="970" t="s">
        <v>3695</v>
      </c>
      <c r="R19" s="970" t="s">
        <v>3695</v>
      </c>
      <c r="S19" s="3334" t="s">
        <v>825</v>
      </c>
      <c r="T19" s="3335"/>
    </row>
    <row r="20" spans="1:21" s="460" customFormat="1" ht="33.75" customHeight="1">
      <c r="A20" s="2746" t="s">
        <v>2410</v>
      </c>
      <c r="B20" s="3329" t="s">
        <v>3219</v>
      </c>
      <c r="C20" s="3331">
        <v>188711925</v>
      </c>
      <c r="D20" s="1887" t="s">
        <v>246</v>
      </c>
      <c r="E20" s="1888">
        <v>0</v>
      </c>
      <c r="F20" s="1889">
        <v>0</v>
      </c>
      <c r="G20" s="1890">
        <v>0</v>
      </c>
      <c r="H20" s="1888">
        <v>0</v>
      </c>
      <c r="I20" s="1117">
        <v>943.8</v>
      </c>
      <c r="J20" s="1053">
        <v>435.6</v>
      </c>
      <c r="K20" s="3317" t="s">
        <v>2437</v>
      </c>
      <c r="L20" s="3282" t="s">
        <v>3927</v>
      </c>
      <c r="M20" s="3333" t="s">
        <v>2411</v>
      </c>
      <c r="N20" s="2343" t="s">
        <v>2406</v>
      </c>
      <c r="O20" s="3282">
        <v>0</v>
      </c>
      <c r="P20" s="3282">
        <v>0</v>
      </c>
      <c r="Q20" s="3282">
        <v>0</v>
      </c>
      <c r="R20" s="3282">
        <v>0</v>
      </c>
      <c r="S20" s="3311" t="s">
        <v>2407</v>
      </c>
      <c r="T20" s="3312"/>
    </row>
    <row r="21" spans="1:21" s="460" customFormat="1" ht="31.9" hidden="1" customHeight="1">
      <c r="A21" s="2746"/>
      <c r="B21" s="3329"/>
      <c r="C21" s="3331"/>
      <c r="D21" s="1887" t="s">
        <v>413</v>
      </c>
      <c r="E21" s="1888"/>
      <c r="F21" s="1889" t="e">
        <f t="shared" ref="F21:F86" si="1">H21/E21-1</f>
        <v>#DIV/0!</v>
      </c>
      <c r="G21" s="1890"/>
      <c r="H21" s="1888"/>
      <c r="I21" s="1892"/>
      <c r="J21" s="1893"/>
      <c r="K21" s="3318"/>
      <c r="L21" s="3283"/>
      <c r="M21" s="3333"/>
      <c r="N21" s="2345"/>
      <c r="O21" s="3283"/>
      <c r="P21" s="3283"/>
      <c r="Q21" s="3283"/>
      <c r="R21" s="3283"/>
      <c r="S21" s="3313"/>
      <c r="T21" s="3314"/>
      <c r="U21" s="461" t="s">
        <v>3109</v>
      </c>
    </row>
    <row r="22" spans="1:21" s="460" customFormat="1" ht="30" customHeight="1">
      <c r="A22" s="2746"/>
      <c r="B22" s="3329"/>
      <c r="C22" s="3331"/>
      <c r="D22" s="1887" t="s">
        <v>471</v>
      </c>
      <c r="E22" s="1888">
        <v>0</v>
      </c>
      <c r="F22" s="1889">
        <v>0</v>
      </c>
      <c r="G22" s="1894">
        <v>85.412000000000006</v>
      </c>
      <c r="H22" s="1100">
        <v>0</v>
      </c>
      <c r="I22" s="1117"/>
      <c r="J22" s="1053"/>
      <c r="K22" s="3318"/>
      <c r="L22" s="3283"/>
      <c r="M22" s="3333"/>
      <c r="N22" s="2345"/>
      <c r="O22" s="3284"/>
      <c r="P22" s="3283"/>
      <c r="Q22" s="3283"/>
      <c r="R22" s="3283"/>
      <c r="S22" s="3313"/>
      <c r="T22" s="3314"/>
    </row>
    <row r="23" spans="1:21" s="460" customFormat="1" ht="30" customHeight="1">
      <c r="A23" s="2746"/>
      <c r="B23" s="3329"/>
      <c r="C23" s="3331"/>
      <c r="D23" s="1887" t="s">
        <v>2928</v>
      </c>
      <c r="E23" s="1888"/>
      <c r="F23" s="1889"/>
      <c r="G23" s="1894"/>
      <c r="H23" s="1100">
        <v>85.412000000000006</v>
      </c>
      <c r="I23" s="1117"/>
      <c r="J23" s="1893"/>
      <c r="K23" s="3318"/>
      <c r="L23" s="3283"/>
      <c r="M23" s="3333"/>
      <c r="N23" s="2345"/>
      <c r="O23" s="1895"/>
      <c r="P23" s="3283"/>
      <c r="Q23" s="3283"/>
      <c r="R23" s="3283"/>
      <c r="S23" s="3313"/>
      <c r="T23" s="3314"/>
    </row>
    <row r="24" spans="1:21" s="460" customFormat="1" ht="30" customHeight="1">
      <c r="A24" s="2746"/>
      <c r="B24" s="3329"/>
      <c r="C24" s="3331"/>
      <c r="D24" s="1887" t="s">
        <v>1394</v>
      </c>
      <c r="E24" s="1888"/>
      <c r="F24" s="1889"/>
      <c r="G24" s="1894"/>
      <c r="H24" s="1100"/>
      <c r="I24" s="1117">
        <v>81.141000000000005</v>
      </c>
      <c r="J24" s="1053">
        <v>76.870999999999995</v>
      </c>
      <c r="K24" s="3318"/>
      <c r="L24" s="3283"/>
      <c r="M24" s="3333"/>
      <c r="N24" s="2344"/>
      <c r="O24" s="1895"/>
      <c r="P24" s="3284"/>
      <c r="Q24" s="3284"/>
      <c r="R24" s="3284"/>
      <c r="S24" s="3313"/>
      <c r="T24" s="3314"/>
    </row>
    <row r="25" spans="1:21" s="460" customFormat="1" ht="93.75" customHeight="1">
      <c r="A25" s="2727"/>
      <c r="B25" s="3330"/>
      <c r="C25" s="3332"/>
      <c r="D25" s="1896" t="s">
        <v>1076</v>
      </c>
      <c r="E25" s="1059">
        <f>SUM(E20,E22)</f>
        <v>0</v>
      </c>
      <c r="F25" s="1897">
        <v>0</v>
      </c>
      <c r="G25" s="1898">
        <f>SUM(G20,G22,G23)</f>
        <v>85.412000000000006</v>
      </c>
      <c r="H25" s="1898">
        <f>SUM(H20,H22,H23)</f>
        <v>85.412000000000006</v>
      </c>
      <c r="I25" s="1898">
        <f>SUM(I20,I22,I23:I24)</f>
        <v>1024.941</v>
      </c>
      <c r="J25" s="1898">
        <f>SUM(J20,J22,J23:J24)</f>
        <v>512.471</v>
      </c>
      <c r="K25" s="3319"/>
      <c r="L25" s="3284"/>
      <c r="M25" s="3333"/>
      <c r="N25" s="947" t="s">
        <v>3102</v>
      </c>
      <c r="O25" s="1891">
        <v>0</v>
      </c>
      <c r="P25" s="1891">
        <v>0</v>
      </c>
      <c r="Q25" s="1891">
        <v>0</v>
      </c>
      <c r="R25" s="1891">
        <v>0</v>
      </c>
      <c r="S25" s="3315"/>
      <c r="T25" s="3316"/>
    </row>
    <row r="26" spans="1:21" ht="29.45" customHeight="1">
      <c r="A26" s="3310" t="s">
        <v>2813</v>
      </c>
      <c r="B26" s="2355" t="s">
        <v>3220</v>
      </c>
      <c r="C26" s="2783" t="s">
        <v>1208</v>
      </c>
      <c r="D26" s="1887" t="s">
        <v>246</v>
      </c>
      <c r="E26" s="1100">
        <v>0</v>
      </c>
      <c r="F26" s="1889">
        <v>0</v>
      </c>
      <c r="G26" s="1894">
        <v>0</v>
      </c>
      <c r="H26" s="1100">
        <v>0</v>
      </c>
      <c r="I26" s="1100">
        <v>216.327</v>
      </c>
      <c r="J26" s="1053">
        <v>106.5</v>
      </c>
      <c r="K26" s="2894" t="s">
        <v>2438</v>
      </c>
      <c r="L26" s="2395" t="s">
        <v>3928</v>
      </c>
      <c r="M26" s="2344" t="s">
        <v>1607</v>
      </c>
      <c r="N26" s="3282" t="s">
        <v>2413</v>
      </c>
      <c r="O26" s="3287">
        <v>0</v>
      </c>
      <c r="P26" s="3285">
        <v>0</v>
      </c>
      <c r="Q26" s="3285">
        <v>0</v>
      </c>
      <c r="R26" s="3285">
        <v>5</v>
      </c>
      <c r="S26" s="3290" t="s">
        <v>2484</v>
      </c>
      <c r="T26" s="3291"/>
      <c r="U26" s="461" t="s">
        <v>2786</v>
      </c>
    </row>
    <row r="27" spans="1:21" ht="15" hidden="1" customHeight="1">
      <c r="A27" s="2746"/>
      <c r="B27" s="2355"/>
      <c r="C27" s="2783"/>
      <c r="D27" s="1887" t="s">
        <v>413</v>
      </c>
      <c r="E27" s="1100"/>
      <c r="F27" s="1889" t="e">
        <f t="shared" si="1"/>
        <v>#DIV/0!</v>
      </c>
      <c r="G27" s="1894"/>
      <c r="H27" s="1100"/>
      <c r="I27" s="1117"/>
      <c r="J27" s="1053"/>
      <c r="K27" s="2907"/>
      <c r="L27" s="2395"/>
      <c r="M27" s="2344"/>
      <c r="N27" s="3283"/>
      <c r="O27" s="3287"/>
      <c r="P27" s="3286"/>
      <c r="Q27" s="3286"/>
      <c r="R27" s="3286"/>
      <c r="S27" s="3292"/>
      <c r="T27" s="3293"/>
    </row>
    <row r="28" spans="1:21" ht="36" customHeight="1">
      <c r="A28" s="2746"/>
      <c r="B28" s="2355"/>
      <c r="C28" s="2783"/>
      <c r="D28" s="1887" t="s">
        <v>471</v>
      </c>
      <c r="E28" s="1100">
        <v>10</v>
      </c>
      <c r="F28" s="1889">
        <f t="shared" si="1"/>
        <v>-1</v>
      </c>
      <c r="G28" s="1894">
        <v>19.577000000000002</v>
      </c>
      <c r="H28" s="1100">
        <v>0</v>
      </c>
      <c r="I28" s="1117"/>
      <c r="J28" s="1053"/>
      <c r="K28" s="2907"/>
      <c r="L28" s="2395"/>
      <c r="M28" s="2344"/>
      <c r="N28" s="3283"/>
      <c r="O28" s="3287"/>
      <c r="P28" s="3286"/>
      <c r="Q28" s="3286"/>
      <c r="R28" s="3286"/>
      <c r="S28" s="3292"/>
      <c r="T28" s="3293"/>
    </row>
    <row r="29" spans="1:21" ht="36" customHeight="1">
      <c r="A29" s="2746"/>
      <c r="B29" s="2355"/>
      <c r="C29" s="2783"/>
      <c r="D29" s="1887" t="s">
        <v>2928</v>
      </c>
      <c r="E29" s="1100"/>
      <c r="F29" s="1889"/>
      <c r="G29" s="1894"/>
      <c r="H29" s="1100">
        <v>19.577999999999999</v>
      </c>
      <c r="I29" s="1117"/>
      <c r="J29" s="1053"/>
      <c r="K29" s="2907"/>
      <c r="L29" s="2395"/>
      <c r="M29" s="2344"/>
      <c r="N29" s="3283"/>
      <c r="O29" s="3287"/>
      <c r="P29" s="3286"/>
      <c r="Q29" s="3286"/>
      <c r="R29" s="3286"/>
      <c r="S29" s="3294"/>
      <c r="T29" s="3295"/>
    </row>
    <row r="30" spans="1:21" ht="30.75" customHeight="1">
      <c r="A30" s="2746"/>
      <c r="B30" s="2355"/>
      <c r="C30" s="2783"/>
      <c r="D30" s="1887" t="s">
        <v>1394</v>
      </c>
      <c r="E30" s="1100"/>
      <c r="F30" s="1889"/>
      <c r="G30" s="1894"/>
      <c r="H30" s="1100"/>
      <c r="I30" s="1117">
        <v>18.597999999999999</v>
      </c>
      <c r="J30" s="1053">
        <v>18.794</v>
      </c>
      <c r="K30" s="2907"/>
      <c r="L30" s="2395"/>
      <c r="M30" s="2344"/>
      <c r="N30" s="3284"/>
      <c r="O30" s="3287"/>
      <c r="P30" s="3287"/>
      <c r="Q30" s="3287"/>
      <c r="R30" s="3287"/>
      <c r="S30" s="634"/>
      <c r="T30" s="897"/>
    </row>
    <row r="31" spans="1:21" ht="46.5" customHeight="1">
      <c r="A31" s="2727"/>
      <c r="B31" s="2465"/>
      <c r="C31" s="2466"/>
      <c r="D31" s="1056" t="s">
        <v>1076</v>
      </c>
      <c r="E31" s="1059">
        <f>SUM(E26:E29)</f>
        <v>10</v>
      </c>
      <c r="F31" s="1897">
        <f t="shared" si="1"/>
        <v>0.95779999999999998</v>
      </c>
      <c r="G31" s="1899">
        <f>SUM(G26:G29)</f>
        <v>19.577000000000002</v>
      </c>
      <c r="H31" s="1898">
        <f>SUM(H26:H29)</f>
        <v>19.577999999999999</v>
      </c>
      <c r="I31" s="1898">
        <f>SUM(I26:I30)</f>
        <v>234.92500000000001</v>
      </c>
      <c r="J31" s="1898">
        <f>SUM(J26:J30)</f>
        <v>125.294</v>
      </c>
      <c r="K31" s="2895"/>
      <c r="L31" s="2396"/>
      <c r="M31" s="2342"/>
      <c r="N31" s="1891" t="s">
        <v>3102</v>
      </c>
      <c r="O31" s="3328"/>
      <c r="P31" s="1900"/>
      <c r="Q31" s="1900"/>
      <c r="R31" s="1900">
        <v>1</v>
      </c>
      <c r="S31" s="3288" t="s">
        <v>2485</v>
      </c>
      <c r="T31" s="3289"/>
    </row>
    <row r="32" spans="1:21" ht="70.150000000000006" customHeight="1">
      <c r="A32" s="2727" t="s">
        <v>2189</v>
      </c>
      <c r="B32" s="2575" t="s">
        <v>1282</v>
      </c>
      <c r="C32" s="2722">
        <v>188711925</v>
      </c>
      <c r="D32" s="1082" t="s">
        <v>471</v>
      </c>
      <c r="E32" s="1053">
        <v>22</v>
      </c>
      <c r="F32" s="1889">
        <f t="shared" si="1"/>
        <v>0</v>
      </c>
      <c r="G32" s="1789">
        <v>25</v>
      </c>
      <c r="H32" s="1107">
        <v>22</v>
      </c>
      <c r="I32" s="1090">
        <v>22</v>
      </c>
      <c r="J32" s="1053">
        <v>22</v>
      </c>
      <c r="K32" s="2894" t="s">
        <v>2486</v>
      </c>
      <c r="L32" s="2349" t="s">
        <v>2605</v>
      </c>
      <c r="M32" s="2344" t="s">
        <v>1608</v>
      </c>
      <c r="N32" s="2344" t="s">
        <v>3103</v>
      </c>
      <c r="O32" s="2344" t="s">
        <v>324</v>
      </c>
      <c r="P32" s="2344" t="s">
        <v>1466</v>
      </c>
      <c r="Q32" s="2344" t="s">
        <v>1476</v>
      </c>
      <c r="R32" s="2343" t="s">
        <v>3104</v>
      </c>
      <c r="S32" s="3290" t="s">
        <v>2487</v>
      </c>
      <c r="T32" s="3291"/>
    </row>
    <row r="33" spans="1:22" ht="59.25" customHeight="1">
      <c r="A33" s="2727"/>
      <c r="B33" s="2575"/>
      <c r="C33" s="2722"/>
      <c r="D33" s="1083" t="s">
        <v>1076</v>
      </c>
      <c r="E33" s="1059">
        <f>E32</f>
        <v>22</v>
      </c>
      <c r="F33" s="1897">
        <f t="shared" si="1"/>
        <v>0</v>
      </c>
      <c r="G33" s="1899">
        <f t="shared" ref="G33:J33" si="2">G32</f>
        <v>25</v>
      </c>
      <c r="H33" s="1059">
        <f t="shared" si="2"/>
        <v>22</v>
      </c>
      <c r="I33" s="1059">
        <f t="shared" si="2"/>
        <v>22</v>
      </c>
      <c r="J33" s="1059">
        <f t="shared" si="2"/>
        <v>22</v>
      </c>
      <c r="K33" s="2895"/>
      <c r="L33" s="2401"/>
      <c r="M33" s="2342"/>
      <c r="N33" s="2342"/>
      <c r="O33" s="2342"/>
      <c r="P33" s="2342"/>
      <c r="Q33" s="2342"/>
      <c r="R33" s="2344"/>
      <c r="S33" s="3294"/>
      <c r="T33" s="3295"/>
    </row>
    <row r="34" spans="1:22" ht="64.150000000000006" customHeight="1">
      <c r="A34" s="2727" t="s">
        <v>2190</v>
      </c>
      <c r="B34" s="2728" t="s">
        <v>455</v>
      </c>
      <c r="C34" s="2722">
        <v>188711925</v>
      </c>
      <c r="D34" s="1082" t="s">
        <v>471</v>
      </c>
      <c r="E34" s="1053">
        <v>21</v>
      </c>
      <c r="F34" s="1889">
        <f t="shared" si="1"/>
        <v>0</v>
      </c>
      <c r="G34" s="1789">
        <v>21</v>
      </c>
      <c r="H34" s="1107">
        <v>21</v>
      </c>
      <c r="I34" s="1090">
        <v>21</v>
      </c>
      <c r="J34" s="1053">
        <v>21</v>
      </c>
      <c r="K34" s="2894" t="s">
        <v>2437</v>
      </c>
      <c r="L34" s="2349" t="s">
        <v>3696</v>
      </c>
      <c r="M34" s="2344" t="s">
        <v>1609</v>
      </c>
      <c r="N34" s="2344" t="s">
        <v>429</v>
      </c>
      <c r="O34" s="2343" t="s">
        <v>145</v>
      </c>
      <c r="P34" s="2343" t="s">
        <v>404</v>
      </c>
      <c r="Q34" s="2343" t="s">
        <v>404</v>
      </c>
      <c r="R34" s="2343" t="s">
        <v>404</v>
      </c>
      <c r="S34" s="3321" t="s">
        <v>2407</v>
      </c>
      <c r="T34" s="3322"/>
    </row>
    <row r="35" spans="1:22" ht="49.9" customHeight="1">
      <c r="A35" s="2727"/>
      <c r="B35" s="2729"/>
      <c r="C35" s="2723"/>
      <c r="D35" s="1087" t="s">
        <v>1076</v>
      </c>
      <c r="E35" s="1089">
        <f t="shared" ref="E35:J35" si="3">E34</f>
        <v>21</v>
      </c>
      <c r="F35" s="1897">
        <f t="shared" si="1"/>
        <v>0</v>
      </c>
      <c r="G35" s="1901">
        <f t="shared" si="3"/>
        <v>21</v>
      </c>
      <c r="H35" s="1089">
        <f t="shared" si="3"/>
        <v>21</v>
      </c>
      <c r="I35" s="1089">
        <f t="shared" si="3"/>
        <v>21</v>
      </c>
      <c r="J35" s="1089">
        <f t="shared" si="3"/>
        <v>21</v>
      </c>
      <c r="K35" s="2895"/>
      <c r="L35" s="2401"/>
      <c r="M35" s="2342"/>
      <c r="N35" s="2342"/>
      <c r="O35" s="2344"/>
      <c r="P35" s="2345"/>
      <c r="Q35" s="2345"/>
      <c r="R35" s="2345"/>
      <c r="S35" s="3323"/>
      <c r="T35" s="3324"/>
    </row>
    <row r="36" spans="1:22" ht="55.15" customHeight="1">
      <c r="A36" s="2727" t="s">
        <v>2191</v>
      </c>
      <c r="B36" s="2728" t="s">
        <v>2949</v>
      </c>
      <c r="C36" s="2722">
        <v>188711925</v>
      </c>
      <c r="D36" s="1082" t="s">
        <v>471</v>
      </c>
      <c r="E36" s="1162">
        <v>51</v>
      </c>
      <c r="F36" s="1889">
        <f>H36/E36-1</f>
        <v>0</v>
      </c>
      <c r="G36" s="1902">
        <v>53</v>
      </c>
      <c r="H36" s="1161">
        <v>51</v>
      </c>
      <c r="I36" s="1118">
        <v>51</v>
      </c>
      <c r="J36" s="1162">
        <v>0</v>
      </c>
      <c r="K36" s="2894" t="s">
        <v>2437</v>
      </c>
      <c r="L36" s="2395" t="s">
        <v>3107</v>
      </c>
      <c r="M36" s="2344" t="s">
        <v>1610</v>
      </c>
      <c r="N36" s="2344" t="s">
        <v>3105</v>
      </c>
      <c r="O36" s="2343" t="s">
        <v>308</v>
      </c>
      <c r="P36" s="2342" t="s">
        <v>3106</v>
      </c>
      <c r="Q36" s="2342" t="s">
        <v>3106</v>
      </c>
      <c r="R36" s="2343"/>
      <c r="S36" s="3323"/>
      <c r="T36" s="3324"/>
      <c r="U36" s="461" t="s">
        <v>3111</v>
      </c>
      <c r="V36" s="461"/>
    </row>
    <row r="37" spans="1:22" ht="87" customHeight="1">
      <c r="A37" s="2727"/>
      <c r="B37" s="2729"/>
      <c r="C37" s="2723"/>
      <c r="D37" s="1903" t="s">
        <v>1076</v>
      </c>
      <c r="E37" s="1059">
        <f t="shared" ref="E37:J37" si="4">E36</f>
        <v>51</v>
      </c>
      <c r="F37" s="1897">
        <f t="shared" si="1"/>
        <v>0</v>
      </c>
      <c r="G37" s="1899">
        <f t="shared" si="4"/>
        <v>53</v>
      </c>
      <c r="H37" s="1059">
        <f t="shared" si="4"/>
        <v>51</v>
      </c>
      <c r="I37" s="1059">
        <f t="shared" si="4"/>
        <v>51</v>
      </c>
      <c r="J37" s="1059">
        <f t="shared" si="4"/>
        <v>0</v>
      </c>
      <c r="K37" s="2895"/>
      <c r="L37" s="2396"/>
      <c r="M37" s="2342"/>
      <c r="N37" s="2342"/>
      <c r="O37" s="2344"/>
      <c r="P37" s="2342"/>
      <c r="Q37" s="2342"/>
      <c r="R37" s="2344"/>
      <c r="S37" s="3323"/>
      <c r="T37" s="3324"/>
    </row>
    <row r="38" spans="1:22" ht="39" customHeight="1">
      <c r="A38" s="2727" t="s">
        <v>2192</v>
      </c>
      <c r="B38" s="2728" t="s">
        <v>1283</v>
      </c>
      <c r="C38" s="2722">
        <v>188711925</v>
      </c>
      <c r="D38" s="1082" t="s">
        <v>471</v>
      </c>
      <c r="E38" s="1053">
        <v>30</v>
      </c>
      <c r="F38" s="1889">
        <f t="shared" si="1"/>
        <v>0</v>
      </c>
      <c r="G38" s="1789">
        <v>30</v>
      </c>
      <c r="H38" s="1053">
        <v>30</v>
      </c>
      <c r="I38" s="1090">
        <v>30</v>
      </c>
      <c r="J38" s="1053">
        <v>30</v>
      </c>
      <c r="K38" s="2894" t="s">
        <v>2437</v>
      </c>
      <c r="L38" s="2395" t="s">
        <v>3108</v>
      </c>
      <c r="M38" s="2344" t="s">
        <v>1611</v>
      </c>
      <c r="N38" s="2343" t="s">
        <v>3601</v>
      </c>
      <c r="O38" s="949"/>
      <c r="P38" s="2343" t="s">
        <v>144</v>
      </c>
      <c r="Q38" s="2343" t="s">
        <v>144</v>
      </c>
      <c r="R38" s="2343" t="s">
        <v>144</v>
      </c>
      <c r="S38" s="3323"/>
      <c r="T38" s="3324"/>
    </row>
    <row r="39" spans="1:22" ht="30" customHeight="1">
      <c r="A39" s="2727"/>
      <c r="B39" s="2729"/>
      <c r="C39" s="2723"/>
      <c r="D39" s="1387" t="s">
        <v>1448</v>
      </c>
      <c r="E39" s="1162">
        <v>86.06</v>
      </c>
      <c r="F39" s="1889">
        <f t="shared" si="1"/>
        <v>4.35742505228911E-2</v>
      </c>
      <c r="G39" s="1789">
        <v>120.333</v>
      </c>
      <c r="H39" s="1053">
        <v>89.81</v>
      </c>
      <c r="I39" s="1053">
        <v>89.81</v>
      </c>
      <c r="J39" s="1053">
        <v>89.81</v>
      </c>
      <c r="K39" s="2907"/>
      <c r="L39" s="2396"/>
      <c r="M39" s="2344"/>
      <c r="N39" s="2345"/>
      <c r="O39" s="2342"/>
      <c r="P39" s="2345"/>
      <c r="Q39" s="2345"/>
      <c r="R39" s="2345"/>
      <c r="S39" s="3323"/>
      <c r="T39" s="3324"/>
    </row>
    <row r="40" spans="1:22" ht="30" customHeight="1">
      <c r="A40" s="2727"/>
      <c r="B40" s="2729"/>
      <c r="C40" s="2723"/>
      <c r="D40" s="1087" t="s">
        <v>1076</v>
      </c>
      <c r="E40" s="1089">
        <f>E38+E39</f>
        <v>116.06</v>
      </c>
      <c r="F40" s="1904">
        <f t="shared" si="1"/>
        <v>3.2310873686024477E-2</v>
      </c>
      <c r="G40" s="1905">
        <f>G38+G39</f>
        <v>150.333</v>
      </c>
      <c r="H40" s="1089">
        <f>H38+H39</f>
        <v>119.81</v>
      </c>
      <c r="I40" s="1089">
        <f t="shared" ref="I40:J40" si="5">I38+I39</f>
        <v>119.81</v>
      </c>
      <c r="J40" s="1089">
        <f t="shared" si="5"/>
        <v>119.81</v>
      </c>
      <c r="K40" s="2895"/>
      <c r="L40" s="2396"/>
      <c r="M40" s="2342"/>
      <c r="N40" s="2344"/>
      <c r="O40" s="2342"/>
      <c r="P40" s="2344"/>
      <c r="Q40" s="2344"/>
      <c r="R40" s="2344"/>
      <c r="S40" s="3323"/>
      <c r="T40" s="3324"/>
    </row>
    <row r="41" spans="1:22" ht="33.6" customHeight="1">
      <c r="A41" s="2727" t="s">
        <v>2193</v>
      </c>
      <c r="B41" s="2728" t="s">
        <v>2938</v>
      </c>
      <c r="C41" s="2722">
        <v>188711925</v>
      </c>
      <c r="D41" s="1082" t="s">
        <v>471</v>
      </c>
      <c r="E41" s="1053">
        <v>25</v>
      </c>
      <c r="F41" s="1889">
        <f t="shared" si="1"/>
        <v>-0.19999999999999996</v>
      </c>
      <c r="G41" s="1789">
        <f>G44</f>
        <v>20</v>
      </c>
      <c r="H41" s="1053">
        <v>20</v>
      </c>
      <c r="I41" s="1053">
        <f t="shared" ref="I41:J41" si="6">I44</f>
        <v>20</v>
      </c>
      <c r="J41" s="1053">
        <f t="shared" si="6"/>
        <v>20</v>
      </c>
      <c r="K41" s="2894" t="s">
        <v>2437</v>
      </c>
      <c r="L41" s="2395" t="s">
        <v>4064</v>
      </c>
      <c r="M41" s="2344" t="s">
        <v>1612</v>
      </c>
      <c r="N41" s="2344" t="s">
        <v>2939</v>
      </c>
      <c r="O41" s="2343" t="s">
        <v>1349</v>
      </c>
      <c r="P41" s="2343" t="s">
        <v>1338</v>
      </c>
      <c r="Q41" s="2343" t="s">
        <v>393</v>
      </c>
      <c r="R41" s="2343" t="s">
        <v>1349</v>
      </c>
      <c r="S41" s="3323"/>
      <c r="T41" s="3324"/>
    </row>
    <row r="42" spans="1:22" ht="30.6" customHeight="1">
      <c r="A42" s="2727"/>
      <c r="B42" s="2729"/>
      <c r="C42" s="2723"/>
      <c r="D42" s="1082" t="s">
        <v>2928</v>
      </c>
      <c r="E42" s="1162">
        <v>25</v>
      </c>
      <c r="F42" s="1889">
        <f t="shared" si="1"/>
        <v>-1</v>
      </c>
      <c r="G42" s="1789">
        <v>0</v>
      </c>
      <c r="H42" s="1053">
        <v>0</v>
      </c>
      <c r="I42" s="1053">
        <v>0</v>
      </c>
      <c r="J42" s="1053">
        <v>0</v>
      </c>
      <c r="K42" s="2907"/>
      <c r="L42" s="2395"/>
      <c r="M42" s="2344"/>
      <c r="N42" s="2344"/>
      <c r="O42" s="2345"/>
      <c r="P42" s="2345"/>
      <c r="Q42" s="2345"/>
      <c r="R42" s="2345"/>
      <c r="S42" s="3323"/>
      <c r="T42" s="3324"/>
    </row>
    <row r="43" spans="1:22" ht="55.5" customHeight="1">
      <c r="A43" s="2727"/>
      <c r="B43" s="2729"/>
      <c r="C43" s="2723"/>
      <c r="D43" s="1087" t="s">
        <v>1076</v>
      </c>
      <c r="E43" s="1089">
        <f>E41+E42</f>
        <v>50</v>
      </c>
      <c r="F43" s="1897">
        <f t="shared" si="1"/>
        <v>-0.6</v>
      </c>
      <c r="G43" s="1901">
        <f>G41</f>
        <v>20</v>
      </c>
      <c r="H43" s="1089">
        <f t="shared" ref="H43:J43" si="7">H41+H42</f>
        <v>20</v>
      </c>
      <c r="I43" s="1089">
        <f t="shared" si="7"/>
        <v>20</v>
      </c>
      <c r="J43" s="1089">
        <f t="shared" si="7"/>
        <v>20</v>
      </c>
      <c r="K43" s="2895"/>
      <c r="L43" s="2396"/>
      <c r="M43" s="2342"/>
      <c r="N43" s="2342"/>
      <c r="O43" s="2344"/>
      <c r="P43" s="2344"/>
      <c r="Q43" s="2344"/>
      <c r="R43" s="2344"/>
      <c r="S43" s="3325"/>
      <c r="T43" s="3326"/>
    </row>
    <row r="44" spans="1:22" ht="53.25" hidden="1" customHeight="1">
      <c r="A44" s="1485"/>
      <c r="B44" s="974" t="s">
        <v>3227</v>
      </c>
      <c r="C44" s="1445"/>
      <c r="D44" s="1906"/>
      <c r="E44" s="1005">
        <v>50</v>
      </c>
      <c r="F44" s="1490">
        <f t="shared" si="1"/>
        <v>-0.6</v>
      </c>
      <c r="G44" s="1489">
        <v>20</v>
      </c>
      <c r="H44" s="989">
        <v>20</v>
      </c>
      <c r="I44" s="989">
        <v>20</v>
      </c>
      <c r="J44" s="989">
        <v>20</v>
      </c>
      <c r="K44" s="2033"/>
      <c r="L44" s="1012" t="s">
        <v>3229</v>
      </c>
      <c r="M44" s="1020"/>
      <c r="N44" s="1020"/>
      <c r="O44" s="1020"/>
      <c r="P44" s="1020"/>
      <c r="Q44" s="1020"/>
      <c r="R44" s="1020"/>
      <c r="S44" s="500"/>
      <c r="T44" s="501"/>
    </row>
    <row r="45" spans="1:22" ht="21" hidden="1" customHeight="1">
      <c r="A45" s="3272" t="s">
        <v>2194</v>
      </c>
      <c r="B45" s="3337" t="s">
        <v>2919</v>
      </c>
      <c r="C45" s="3339">
        <v>188711925</v>
      </c>
      <c r="D45" s="1907" t="s">
        <v>471</v>
      </c>
      <c r="E45" s="1908"/>
      <c r="F45" s="1909" t="e">
        <f t="shared" si="1"/>
        <v>#DIV/0!</v>
      </c>
      <c r="G45" s="1910"/>
      <c r="H45" s="1911"/>
      <c r="I45" s="1912"/>
      <c r="J45" s="1913"/>
      <c r="K45" s="3276" t="s">
        <v>2488</v>
      </c>
      <c r="L45" s="3342" t="s">
        <v>2587</v>
      </c>
      <c r="M45" s="3280" t="s">
        <v>1613</v>
      </c>
      <c r="N45" s="3280" t="s">
        <v>2950</v>
      </c>
      <c r="O45" s="3280" t="s">
        <v>2814</v>
      </c>
      <c r="P45" s="3280" t="s">
        <v>434</v>
      </c>
      <c r="Q45" s="3280" t="s">
        <v>434</v>
      </c>
      <c r="R45" s="1914"/>
      <c r="S45" s="3296" t="s">
        <v>2951</v>
      </c>
      <c r="T45" s="3296"/>
    </row>
    <row r="46" spans="1:22" ht="21" hidden="1" customHeight="1">
      <c r="A46" s="3272"/>
      <c r="B46" s="3337"/>
      <c r="C46" s="3339"/>
      <c r="D46" s="1907" t="s">
        <v>246</v>
      </c>
      <c r="E46" s="1913"/>
      <c r="F46" s="1909" t="e">
        <f t="shared" si="1"/>
        <v>#DIV/0!</v>
      </c>
      <c r="G46" s="1915"/>
      <c r="H46" s="1913"/>
      <c r="I46" s="1916"/>
      <c r="J46" s="1913"/>
      <c r="K46" s="3341"/>
      <c r="L46" s="3343"/>
      <c r="M46" s="3280"/>
      <c r="N46" s="3280"/>
      <c r="O46" s="3280"/>
      <c r="P46" s="3280"/>
      <c r="Q46" s="3280"/>
      <c r="R46" s="1914"/>
      <c r="S46" s="3296"/>
      <c r="T46" s="3296"/>
    </row>
    <row r="47" spans="1:22" ht="21" hidden="1" customHeight="1">
      <c r="A47" s="3272"/>
      <c r="B47" s="3337"/>
      <c r="C47" s="3339"/>
      <c r="D47" s="1907" t="s">
        <v>1122</v>
      </c>
      <c r="E47" s="1913"/>
      <c r="F47" s="1909" t="e">
        <f t="shared" si="1"/>
        <v>#DIV/0!</v>
      </c>
      <c r="G47" s="1915"/>
      <c r="H47" s="1913"/>
      <c r="I47" s="1916"/>
      <c r="J47" s="1913"/>
      <c r="K47" s="3341"/>
      <c r="L47" s="3343"/>
      <c r="M47" s="3280"/>
      <c r="N47" s="3280"/>
      <c r="O47" s="3280"/>
      <c r="P47" s="3280"/>
      <c r="Q47" s="3280"/>
      <c r="R47" s="1914"/>
      <c r="S47" s="3296"/>
      <c r="T47" s="3296"/>
    </row>
    <row r="48" spans="1:22" ht="21" hidden="1" customHeight="1">
      <c r="A48" s="3272"/>
      <c r="B48" s="3337"/>
      <c r="C48" s="3339"/>
      <c r="D48" s="1907" t="s">
        <v>413</v>
      </c>
      <c r="E48" s="1913"/>
      <c r="F48" s="1909" t="e">
        <f t="shared" si="1"/>
        <v>#DIV/0!</v>
      </c>
      <c r="G48" s="1915"/>
      <c r="H48" s="1913"/>
      <c r="I48" s="1916"/>
      <c r="J48" s="1913"/>
      <c r="K48" s="3341"/>
      <c r="L48" s="3343"/>
      <c r="M48" s="3280"/>
      <c r="N48" s="3280"/>
      <c r="O48" s="3280"/>
      <c r="P48" s="3280"/>
      <c r="Q48" s="3280"/>
      <c r="R48" s="1914"/>
      <c r="S48" s="3296"/>
      <c r="T48" s="3296"/>
    </row>
    <row r="49" spans="1:21" ht="21" hidden="1" customHeight="1">
      <c r="A49" s="3336"/>
      <c r="B49" s="3338"/>
      <c r="C49" s="3340"/>
      <c r="D49" s="1917" t="s">
        <v>1076</v>
      </c>
      <c r="E49" s="1918">
        <f t="shared" ref="E49:I49" si="8">E45</f>
        <v>0</v>
      </c>
      <c r="F49" s="1909" t="e">
        <f t="shared" si="1"/>
        <v>#DIV/0!</v>
      </c>
      <c r="G49" s="1919"/>
      <c r="H49" s="1918">
        <f t="shared" si="8"/>
        <v>0</v>
      </c>
      <c r="I49" s="1920">
        <f t="shared" si="8"/>
        <v>0</v>
      </c>
      <c r="J49" s="1913"/>
      <c r="K49" s="3341"/>
      <c r="L49" s="3344"/>
      <c r="M49" s="3281"/>
      <c r="N49" s="3281"/>
      <c r="O49" s="3281"/>
      <c r="P49" s="3281"/>
      <c r="Q49" s="3281"/>
      <c r="R49" s="1921"/>
      <c r="S49" s="3297"/>
      <c r="T49" s="3297"/>
    </row>
    <row r="50" spans="1:21" ht="49.15" customHeight="1">
      <c r="A50" s="1017" t="s">
        <v>2202</v>
      </c>
      <c r="B50" s="954" t="s">
        <v>1284</v>
      </c>
      <c r="C50" s="1017"/>
      <c r="D50" s="1017"/>
      <c r="E50" s="1095">
        <f t="shared" ref="E50:J50" si="9">SUM(E52,E54,E56,)</f>
        <v>29</v>
      </c>
      <c r="F50" s="1885">
        <f t="shared" si="1"/>
        <v>-0.13793103448275867</v>
      </c>
      <c r="G50" s="1886">
        <f t="shared" si="9"/>
        <v>25</v>
      </c>
      <c r="H50" s="1095">
        <f t="shared" si="9"/>
        <v>25</v>
      </c>
      <c r="I50" s="1095">
        <f t="shared" si="9"/>
        <v>20</v>
      </c>
      <c r="J50" s="1095">
        <f t="shared" si="9"/>
        <v>20</v>
      </c>
      <c r="K50" s="577" t="s">
        <v>838</v>
      </c>
      <c r="L50" s="1017"/>
      <c r="M50" s="970" t="s">
        <v>1614</v>
      </c>
      <c r="N50" s="954" t="s">
        <v>819</v>
      </c>
      <c r="O50" s="954">
        <v>889</v>
      </c>
      <c r="P50" s="954">
        <v>890</v>
      </c>
      <c r="Q50" s="954">
        <v>891</v>
      </c>
      <c r="R50" s="1922"/>
      <c r="S50" s="3298" t="s">
        <v>2278</v>
      </c>
      <c r="T50" s="3299"/>
    </row>
    <row r="51" spans="1:21" ht="39" customHeight="1">
      <c r="A51" s="2746" t="s">
        <v>2195</v>
      </c>
      <c r="B51" s="2795" t="s">
        <v>1285</v>
      </c>
      <c r="C51" s="2752">
        <v>188711925</v>
      </c>
      <c r="D51" s="1098" t="s">
        <v>471</v>
      </c>
      <c r="E51" s="1100">
        <v>19</v>
      </c>
      <c r="F51" s="1889">
        <f t="shared" si="1"/>
        <v>-0.73684210526315796</v>
      </c>
      <c r="G51" s="1789">
        <v>5</v>
      </c>
      <c r="H51" s="1116">
        <v>5</v>
      </c>
      <c r="I51" s="1117">
        <v>5</v>
      </c>
      <c r="J51" s="1053">
        <v>5</v>
      </c>
      <c r="K51" s="2894" t="s">
        <v>2277</v>
      </c>
      <c r="L51" s="2363" t="s">
        <v>3697</v>
      </c>
      <c r="M51" s="2342" t="s">
        <v>1615</v>
      </c>
      <c r="N51" s="2344" t="s">
        <v>674</v>
      </c>
      <c r="O51" s="2344" t="s">
        <v>1349</v>
      </c>
      <c r="P51" s="2344" t="s">
        <v>433</v>
      </c>
      <c r="Q51" s="2344" t="s">
        <v>433</v>
      </c>
      <c r="R51" s="2342" t="s">
        <v>433</v>
      </c>
      <c r="S51" s="3300"/>
      <c r="T51" s="3301"/>
    </row>
    <row r="52" spans="1:21" ht="36.6" customHeight="1">
      <c r="A52" s="2727"/>
      <c r="B52" s="2728"/>
      <c r="C52" s="2722"/>
      <c r="D52" s="1083" t="s">
        <v>1076</v>
      </c>
      <c r="E52" s="1059">
        <f t="shared" ref="E52:J52" si="10">E51</f>
        <v>19</v>
      </c>
      <c r="F52" s="1897">
        <f t="shared" si="1"/>
        <v>-0.73684210526315796</v>
      </c>
      <c r="G52" s="1899">
        <f t="shared" si="10"/>
        <v>5</v>
      </c>
      <c r="H52" s="1059">
        <f t="shared" si="10"/>
        <v>5</v>
      </c>
      <c r="I52" s="1059">
        <f t="shared" si="10"/>
        <v>5</v>
      </c>
      <c r="J52" s="1059">
        <f t="shared" si="10"/>
        <v>5</v>
      </c>
      <c r="K52" s="2895"/>
      <c r="L52" s="2401"/>
      <c r="M52" s="2342"/>
      <c r="N52" s="2342"/>
      <c r="O52" s="2342"/>
      <c r="P52" s="2342"/>
      <c r="Q52" s="2342"/>
      <c r="R52" s="2342"/>
      <c r="S52" s="3300"/>
      <c r="T52" s="3301"/>
    </row>
    <row r="53" spans="1:21" ht="48.6" customHeight="1">
      <c r="A53" s="2727" t="s">
        <v>2196</v>
      </c>
      <c r="B53" s="2728" t="s">
        <v>1286</v>
      </c>
      <c r="C53" s="2722">
        <v>188711925</v>
      </c>
      <c r="D53" s="1082" t="s">
        <v>471</v>
      </c>
      <c r="E53" s="1053">
        <v>10</v>
      </c>
      <c r="F53" s="1889">
        <f t="shared" si="1"/>
        <v>0</v>
      </c>
      <c r="G53" s="1789">
        <v>10</v>
      </c>
      <c r="H53" s="1107">
        <v>10</v>
      </c>
      <c r="I53" s="1090">
        <v>10</v>
      </c>
      <c r="J53" s="1053">
        <v>10</v>
      </c>
      <c r="K53" s="2894" t="s">
        <v>2277</v>
      </c>
      <c r="L53" s="2349" t="s">
        <v>3698</v>
      </c>
      <c r="M53" s="2344" t="s">
        <v>1616</v>
      </c>
      <c r="N53" s="2344" t="s">
        <v>2494</v>
      </c>
      <c r="O53" s="2344" t="s">
        <v>586</v>
      </c>
      <c r="P53" s="2342" t="s">
        <v>586</v>
      </c>
      <c r="Q53" s="2342" t="s">
        <v>586</v>
      </c>
      <c r="R53" s="2342" t="s">
        <v>586</v>
      </c>
      <c r="S53" s="3300"/>
      <c r="T53" s="3301"/>
    </row>
    <row r="54" spans="1:21" ht="45.75" customHeight="1">
      <c r="A54" s="2727"/>
      <c r="B54" s="2728"/>
      <c r="C54" s="2722"/>
      <c r="D54" s="1083" t="s">
        <v>1076</v>
      </c>
      <c r="E54" s="1059">
        <f t="shared" ref="E54:J54" si="11">E53</f>
        <v>10</v>
      </c>
      <c r="F54" s="1897">
        <f t="shared" si="1"/>
        <v>0</v>
      </c>
      <c r="G54" s="1899">
        <f t="shared" si="11"/>
        <v>10</v>
      </c>
      <c r="H54" s="1059">
        <f t="shared" si="11"/>
        <v>10</v>
      </c>
      <c r="I54" s="1059">
        <f t="shared" si="11"/>
        <v>10</v>
      </c>
      <c r="J54" s="1059">
        <f t="shared" si="11"/>
        <v>10</v>
      </c>
      <c r="K54" s="2895"/>
      <c r="L54" s="2401"/>
      <c r="M54" s="2342"/>
      <c r="N54" s="2342"/>
      <c r="O54" s="2342"/>
      <c r="P54" s="2342"/>
      <c r="Q54" s="2342"/>
      <c r="R54" s="2342"/>
      <c r="S54" s="3300"/>
      <c r="T54" s="3301"/>
    </row>
    <row r="55" spans="1:21" ht="42" customHeight="1">
      <c r="A55" s="2727" t="s">
        <v>2197</v>
      </c>
      <c r="B55" s="2728" t="s">
        <v>2920</v>
      </c>
      <c r="C55" s="2722">
        <v>188711925</v>
      </c>
      <c r="D55" s="1082" t="s">
        <v>471</v>
      </c>
      <c r="E55" s="1053">
        <v>0</v>
      </c>
      <c r="F55" s="1889"/>
      <c r="G55" s="1789">
        <v>10</v>
      </c>
      <c r="H55" s="1107">
        <v>10</v>
      </c>
      <c r="I55" s="1090">
        <v>5</v>
      </c>
      <c r="J55" s="1053">
        <v>5</v>
      </c>
      <c r="K55" s="2894" t="s">
        <v>2277</v>
      </c>
      <c r="L55" s="2349" t="s">
        <v>2952</v>
      </c>
      <c r="M55" s="2344" t="s">
        <v>1617</v>
      </c>
      <c r="N55" s="2344" t="s">
        <v>1618</v>
      </c>
      <c r="O55" s="2344" t="s">
        <v>434</v>
      </c>
      <c r="P55" s="2342" t="s">
        <v>434</v>
      </c>
      <c r="Q55" s="2342" t="s">
        <v>434</v>
      </c>
      <c r="R55" s="2342" t="s">
        <v>324</v>
      </c>
      <c r="S55" s="3300"/>
      <c r="T55" s="3301"/>
    </row>
    <row r="56" spans="1:21" ht="49.5" customHeight="1">
      <c r="A56" s="2727"/>
      <c r="B56" s="2728"/>
      <c r="C56" s="2722"/>
      <c r="D56" s="1083" t="s">
        <v>1076</v>
      </c>
      <c r="E56" s="1059">
        <f t="shared" ref="E56:J56" si="12">E55</f>
        <v>0</v>
      </c>
      <c r="F56" s="1897"/>
      <c r="G56" s="1057">
        <f t="shared" si="12"/>
        <v>10</v>
      </c>
      <c r="H56" s="1151">
        <f t="shared" si="12"/>
        <v>10</v>
      </c>
      <c r="I56" s="1091">
        <f t="shared" si="12"/>
        <v>5</v>
      </c>
      <c r="J56" s="1059">
        <f t="shared" si="12"/>
        <v>5</v>
      </c>
      <c r="K56" s="2895"/>
      <c r="L56" s="2401"/>
      <c r="M56" s="2342"/>
      <c r="N56" s="2342"/>
      <c r="O56" s="2342"/>
      <c r="P56" s="2342"/>
      <c r="Q56" s="2342"/>
      <c r="R56" s="2342"/>
      <c r="S56" s="3302"/>
      <c r="T56" s="3303"/>
    </row>
    <row r="57" spans="1:21" ht="51" customHeight="1">
      <c r="A57" s="1017" t="s">
        <v>2203</v>
      </c>
      <c r="B57" s="954" t="s">
        <v>2204</v>
      </c>
      <c r="C57" s="1017"/>
      <c r="D57" s="1017"/>
      <c r="E57" s="1095">
        <f>SUM(E59,E61,E66,E70)</f>
        <v>87.942999999999998</v>
      </c>
      <c r="F57" s="1885">
        <f t="shared" si="1"/>
        <v>2.2389502291257024E-2</v>
      </c>
      <c r="G57" s="1886">
        <f t="shared" ref="G57:J57" si="13">SUM(G59,G61,G66,G70)</f>
        <v>158.21100000000001</v>
      </c>
      <c r="H57" s="1095">
        <f t="shared" si="13"/>
        <v>89.912000000000006</v>
      </c>
      <c r="I57" s="1095">
        <f t="shared" si="13"/>
        <v>57.7</v>
      </c>
      <c r="J57" s="1095">
        <f t="shared" si="13"/>
        <v>29.7</v>
      </c>
      <c r="K57" s="577" t="s">
        <v>838</v>
      </c>
      <c r="L57" s="1017"/>
      <c r="M57" s="970" t="s">
        <v>1619</v>
      </c>
      <c r="N57" s="954" t="s">
        <v>820</v>
      </c>
      <c r="O57" s="954">
        <v>739</v>
      </c>
      <c r="P57" s="954">
        <v>908</v>
      </c>
      <c r="Q57" s="954">
        <v>908</v>
      </c>
      <c r="R57" s="954">
        <v>908</v>
      </c>
      <c r="S57" s="3304" t="s">
        <v>2278</v>
      </c>
      <c r="T57" s="3305"/>
    </row>
    <row r="58" spans="1:21" ht="91.9" hidden="1" customHeight="1">
      <c r="A58" s="3345" t="s">
        <v>2198</v>
      </c>
      <c r="B58" s="3347" t="s">
        <v>1287</v>
      </c>
      <c r="C58" s="3348">
        <v>188711925</v>
      </c>
      <c r="D58" s="1923" t="s">
        <v>471</v>
      </c>
      <c r="E58" s="1097"/>
      <c r="F58" s="1909" t="e">
        <f t="shared" si="1"/>
        <v>#DIV/0!</v>
      </c>
      <c r="G58" s="1924"/>
      <c r="H58" s="1097"/>
      <c r="I58" s="1925"/>
      <c r="J58" s="1095"/>
      <c r="K58" s="3350" t="s">
        <v>2277</v>
      </c>
      <c r="L58" s="3352" t="s">
        <v>2414</v>
      </c>
      <c r="M58" s="3278" t="s">
        <v>1620</v>
      </c>
      <c r="N58" s="3278" t="s">
        <v>756</v>
      </c>
      <c r="O58" s="3278" t="s">
        <v>434</v>
      </c>
      <c r="P58" s="3278" t="s">
        <v>324</v>
      </c>
      <c r="Q58" s="3278" t="s">
        <v>324</v>
      </c>
      <c r="R58" s="1926"/>
      <c r="S58" s="3306"/>
      <c r="T58" s="3307"/>
    </row>
    <row r="59" spans="1:21" ht="179.25" hidden="1" customHeight="1">
      <c r="A59" s="3346"/>
      <c r="B59" s="2879"/>
      <c r="C59" s="3349"/>
      <c r="D59" s="1017" t="s">
        <v>1076</v>
      </c>
      <c r="E59" s="1095">
        <f>E58</f>
        <v>0</v>
      </c>
      <c r="F59" s="1909" t="e">
        <f t="shared" si="1"/>
        <v>#DIV/0!</v>
      </c>
      <c r="G59" s="1915"/>
      <c r="H59" s="1095">
        <f>H58</f>
        <v>0</v>
      </c>
      <c r="I59" s="1927">
        <f>I58</f>
        <v>0</v>
      </c>
      <c r="J59" s="1095"/>
      <c r="K59" s="3351"/>
      <c r="L59" s="3353"/>
      <c r="M59" s="3279"/>
      <c r="N59" s="3279"/>
      <c r="O59" s="3279"/>
      <c r="P59" s="3279"/>
      <c r="Q59" s="3279"/>
      <c r="R59" s="1928"/>
      <c r="S59" s="3308"/>
      <c r="T59" s="3309"/>
    </row>
    <row r="60" spans="1:21" ht="86.45" customHeight="1">
      <c r="A60" s="2746" t="s">
        <v>2199</v>
      </c>
      <c r="B60" s="2355" t="s">
        <v>2815</v>
      </c>
      <c r="C60" s="2783" t="s">
        <v>1208</v>
      </c>
      <c r="D60" s="1360" t="s">
        <v>471</v>
      </c>
      <c r="E60" s="1100">
        <v>34.5</v>
      </c>
      <c r="F60" s="1889">
        <f t="shared" si="1"/>
        <v>0.12173913043478279</v>
      </c>
      <c r="G60" s="1894">
        <f>G62+G63+G64</f>
        <v>107</v>
      </c>
      <c r="H60" s="1100">
        <f>SUM(H62,H63,H64)</f>
        <v>38.700000000000003</v>
      </c>
      <c r="I60" s="1100">
        <f t="shared" ref="I60:J60" si="14">SUM(I62,I63,I64)</f>
        <v>31.7</v>
      </c>
      <c r="J60" s="1100">
        <f t="shared" si="14"/>
        <v>3.7</v>
      </c>
      <c r="K60" s="2894" t="s">
        <v>842</v>
      </c>
      <c r="L60" s="2395" t="s">
        <v>2953</v>
      </c>
      <c r="M60" s="2344" t="s">
        <v>1621</v>
      </c>
      <c r="N60" s="2344" t="s">
        <v>3699</v>
      </c>
      <c r="O60" s="2344" t="s">
        <v>324</v>
      </c>
      <c r="P60" s="2344" t="s">
        <v>3700</v>
      </c>
      <c r="Q60" s="2344" t="s">
        <v>3701</v>
      </c>
      <c r="R60" s="2343" t="s">
        <v>3702</v>
      </c>
      <c r="S60" s="3360" t="s">
        <v>837</v>
      </c>
      <c r="T60" s="3361"/>
      <c r="U60" s="461" t="s">
        <v>3112</v>
      </c>
    </row>
    <row r="61" spans="1:21" ht="78.75" customHeight="1">
      <c r="A61" s="2727"/>
      <c r="B61" s="2465"/>
      <c r="C61" s="2466"/>
      <c r="D61" s="1056" t="s">
        <v>1076</v>
      </c>
      <c r="E61" s="1059">
        <f>E60</f>
        <v>34.5</v>
      </c>
      <c r="F61" s="1897">
        <f t="shared" si="1"/>
        <v>0.12173913043478279</v>
      </c>
      <c r="G61" s="1899">
        <f>G60</f>
        <v>107</v>
      </c>
      <c r="H61" s="1059">
        <f>H60</f>
        <v>38.700000000000003</v>
      </c>
      <c r="I61" s="1059">
        <f t="shared" ref="I61:J61" si="15">I60</f>
        <v>31.7</v>
      </c>
      <c r="J61" s="1059">
        <f t="shared" si="15"/>
        <v>3.7</v>
      </c>
      <c r="K61" s="2895"/>
      <c r="L61" s="2396"/>
      <c r="M61" s="2342"/>
      <c r="N61" s="2342"/>
      <c r="O61" s="2342"/>
      <c r="P61" s="2342"/>
      <c r="Q61" s="2342"/>
      <c r="R61" s="2344"/>
      <c r="S61" s="3362"/>
      <c r="T61" s="3363"/>
    </row>
    <row r="62" spans="1:21" ht="33" hidden="1" customHeight="1">
      <c r="A62" s="1364"/>
      <c r="B62" s="975" t="s">
        <v>3245</v>
      </c>
      <c r="C62" s="1371"/>
      <c r="D62" s="1189"/>
      <c r="E62" s="989">
        <v>31.5</v>
      </c>
      <c r="F62" s="1394">
        <f t="shared" si="1"/>
        <v>0.11111111111111116</v>
      </c>
      <c r="G62" s="1068">
        <v>47</v>
      </c>
      <c r="H62" s="989">
        <v>35</v>
      </c>
      <c r="I62" s="1123">
        <v>28</v>
      </c>
      <c r="J62" s="989">
        <v>0</v>
      </c>
      <c r="K62" s="2034"/>
      <c r="L62" s="1102"/>
      <c r="M62" s="1452"/>
      <c r="N62" s="1004"/>
      <c r="O62" s="1452"/>
      <c r="P62" s="1452"/>
      <c r="Q62" s="1452"/>
      <c r="R62" s="1452"/>
      <c r="S62" s="463"/>
      <c r="T62" s="463"/>
    </row>
    <row r="63" spans="1:21" ht="27.75" hidden="1" customHeight="1">
      <c r="A63" s="1364"/>
      <c r="B63" s="975" t="s">
        <v>3230</v>
      </c>
      <c r="C63" s="1371"/>
      <c r="D63" s="1189"/>
      <c r="E63" s="989">
        <v>0</v>
      </c>
      <c r="F63" s="1394">
        <v>1</v>
      </c>
      <c r="G63" s="1068">
        <v>60</v>
      </c>
      <c r="H63" s="989">
        <v>0</v>
      </c>
      <c r="I63" s="1123">
        <v>0</v>
      </c>
      <c r="J63" s="989">
        <v>0</v>
      </c>
      <c r="K63" s="2034"/>
      <c r="L63" s="1102"/>
      <c r="M63" s="1452"/>
      <c r="N63" s="1004"/>
      <c r="O63" s="1452"/>
      <c r="P63" s="1452"/>
      <c r="Q63" s="1452"/>
      <c r="R63" s="1452"/>
      <c r="S63" s="463"/>
      <c r="T63" s="463"/>
    </row>
    <row r="64" spans="1:21" ht="36" hidden="1" customHeight="1">
      <c r="A64" s="1364"/>
      <c r="B64" s="975" t="s">
        <v>3929</v>
      </c>
      <c r="C64" s="1371"/>
      <c r="D64" s="1189"/>
      <c r="E64" s="989">
        <v>3</v>
      </c>
      <c r="F64" s="1394">
        <f t="shared" si="1"/>
        <v>0.23333333333333339</v>
      </c>
      <c r="G64" s="1068">
        <v>0</v>
      </c>
      <c r="H64" s="989">
        <v>3.7</v>
      </c>
      <c r="I64" s="1123">
        <v>3.7</v>
      </c>
      <c r="J64" s="989">
        <v>3.7</v>
      </c>
      <c r="K64" s="2034"/>
      <c r="L64" s="1102"/>
      <c r="M64" s="1452"/>
      <c r="N64" s="1004"/>
      <c r="O64" s="1452"/>
      <c r="P64" s="1452"/>
      <c r="Q64" s="1452"/>
      <c r="R64" s="1452"/>
      <c r="S64" s="463"/>
      <c r="T64" s="463"/>
    </row>
    <row r="65" spans="1:20" ht="78" customHeight="1">
      <c r="A65" s="2727" t="s">
        <v>2200</v>
      </c>
      <c r="B65" s="2728" t="s">
        <v>1288</v>
      </c>
      <c r="C65" s="2722">
        <v>188711925</v>
      </c>
      <c r="D65" s="1082" t="s">
        <v>471</v>
      </c>
      <c r="E65" s="1053">
        <v>35</v>
      </c>
      <c r="F65" s="1889">
        <f t="shared" si="1"/>
        <v>-0.4285714285714286</v>
      </c>
      <c r="G65" s="1929">
        <v>20</v>
      </c>
      <c r="H65" s="1086">
        <v>20</v>
      </c>
      <c r="I65" s="1090">
        <v>20</v>
      </c>
      <c r="J65" s="1053">
        <v>20</v>
      </c>
      <c r="K65" s="2394" t="s">
        <v>2438</v>
      </c>
      <c r="L65" s="2349" t="s">
        <v>3252</v>
      </c>
      <c r="M65" s="2344" t="s">
        <v>1622</v>
      </c>
      <c r="N65" s="2344" t="s">
        <v>1624</v>
      </c>
      <c r="O65" s="2355" t="s">
        <v>1338</v>
      </c>
      <c r="P65" s="2355" t="s">
        <v>393</v>
      </c>
      <c r="Q65" s="2355" t="s">
        <v>1349</v>
      </c>
      <c r="R65" s="2354" t="s">
        <v>1463</v>
      </c>
      <c r="S65" s="3321" t="s">
        <v>2412</v>
      </c>
      <c r="T65" s="3322"/>
    </row>
    <row r="66" spans="1:20" ht="63.75" customHeight="1">
      <c r="A66" s="2727"/>
      <c r="B66" s="2728"/>
      <c r="C66" s="2722"/>
      <c r="D66" s="1083" t="s">
        <v>1076</v>
      </c>
      <c r="E66" s="1059">
        <f t="shared" ref="E66:J66" si="16">E65</f>
        <v>35</v>
      </c>
      <c r="F66" s="1897">
        <f t="shared" si="1"/>
        <v>-0.4285714285714286</v>
      </c>
      <c r="G66" s="1899">
        <f>G65</f>
        <v>20</v>
      </c>
      <c r="H66" s="1059">
        <f t="shared" si="16"/>
        <v>20</v>
      </c>
      <c r="I66" s="1091">
        <f t="shared" si="16"/>
        <v>20</v>
      </c>
      <c r="J66" s="1059">
        <f t="shared" si="16"/>
        <v>20</v>
      </c>
      <c r="K66" s="2394"/>
      <c r="L66" s="2401"/>
      <c r="M66" s="2342"/>
      <c r="N66" s="2342"/>
      <c r="O66" s="2465"/>
      <c r="P66" s="2465"/>
      <c r="Q66" s="2465"/>
      <c r="R66" s="2355"/>
      <c r="S66" s="3325"/>
      <c r="T66" s="3326"/>
    </row>
    <row r="67" spans="1:20" ht="32.25" customHeight="1">
      <c r="A67" s="2727" t="s">
        <v>2201</v>
      </c>
      <c r="B67" s="2728" t="s">
        <v>1289</v>
      </c>
      <c r="C67" s="2722">
        <v>188711925</v>
      </c>
      <c r="D67" s="1082" t="s">
        <v>471</v>
      </c>
      <c r="E67" s="1053">
        <v>6</v>
      </c>
      <c r="F67" s="1889">
        <f t="shared" si="1"/>
        <v>0</v>
      </c>
      <c r="G67" s="1789">
        <v>6</v>
      </c>
      <c r="H67" s="1053">
        <v>6</v>
      </c>
      <c r="I67" s="1090">
        <v>6</v>
      </c>
      <c r="J67" s="1053">
        <v>6</v>
      </c>
      <c r="K67" s="2402" t="s">
        <v>2438</v>
      </c>
      <c r="L67" s="2349" t="s">
        <v>3930</v>
      </c>
      <c r="M67" s="2343" t="s">
        <v>1623</v>
      </c>
      <c r="N67" s="2343" t="s">
        <v>1625</v>
      </c>
      <c r="O67" s="2343" t="s">
        <v>404</v>
      </c>
      <c r="P67" s="2343" t="s">
        <v>404</v>
      </c>
      <c r="Q67" s="2343" t="s">
        <v>3091</v>
      </c>
      <c r="R67" s="2343" t="s">
        <v>3092</v>
      </c>
      <c r="S67" s="3354" t="s">
        <v>2412</v>
      </c>
      <c r="T67" s="3355"/>
    </row>
    <row r="68" spans="1:20" ht="34.5" customHeight="1">
      <c r="A68" s="2807"/>
      <c r="B68" s="2729"/>
      <c r="C68" s="2723"/>
      <c r="D68" s="1387" t="s">
        <v>2928</v>
      </c>
      <c r="E68" s="1162"/>
      <c r="F68" s="1889"/>
      <c r="G68" s="1902"/>
      <c r="H68" s="1162">
        <f>SUM(H72)</f>
        <v>0</v>
      </c>
      <c r="I68" s="1118"/>
      <c r="J68" s="1053"/>
      <c r="K68" s="2863"/>
      <c r="L68" s="2363"/>
      <c r="M68" s="2345"/>
      <c r="N68" s="2345"/>
      <c r="O68" s="2345"/>
      <c r="P68" s="2345"/>
      <c r="Q68" s="2345"/>
      <c r="R68" s="2345"/>
      <c r="S68" s="3356"/>
      <c r="T68" s="3357"/>
    </row>
    <row r="69" spans="1:20" ht="43.15" customHeight="1">
      <c r="A69" s="2807"/>
      <c r="B69" s="2729"/>
      <c r="C69" s="2723"/>
      <c r="D69" s="1387" t="s">
        <v>1122</v>
      </c>
      <c r="E69" s="1162">
        <v>12.443</v>
      </c>
      <c r="F69" s="1889">
        <f t="shared" si="1"/>
        <v>1.0261994695812908</v>
      </c>
      <c r="G69" s="1902">
        <f>G71</f>
        <v>25.210999999999999</v>
      </c>
      <c r="H69" s="1162">
        <f>H71</f>
        <v>25.212</v>
      </c>
      <c r="I69" s="1118">
        <v>0</v>
      </c>
      <c r="J69" s="1053">
        <v>0</v>
      </c>
      <c r="K69" s="2863"/>
      <c r="L69" s="2363"/>
      <c r="M69" s="2345"/>
      <c r="N69" s="2345"/>
      <c r="O69" s="2345"/>
      <c r="P69" s="2345"/>
      <c r="Q69" s="2345"/>
      <c r="R69" s="2345"/>
      <c r="S69" s="3356"/>
      <c r="T69" s="3357"/>
    </row>
    <row r="70" spans="1:20" ht="52.5" customHeight="1">
      <c r="A70" s="2807"/>
      <c r="B70" s="2729"/>
      <c r="C70" s="2723"/>
      <c r="D70" s="1087" t="s">
        <v>1076</v>
      </c>
      <c r="E70" s="1089">
        <f>E67+E69</f>
        <v>18.442999999999998</v>
      </c>
      <c r="F70" s="1897">
        <f t="shared" si="1"/>
        <v>0.69234940085669372</v>
      </c>
      <c r="G70" s="1901">
        <f>G67+G69</f>
        <v>31.210999999999999</v>
      </c>
      <c r="H70" s="1930">
        <f>H67+H69+H68</f>
        <v>31.212</v>
      </c>
      <c r="I70" s="1930">
        <f t="shared" ref="I70:J70" si="17">I67+I69+I68</f>
        <v>6</v>
      </c>
      <c r="J70" s="1930">
        <f t="shared" si="17"/>
        <v>6</v>
      </c>
      <c r="K70" s="2863"/>
      <c r="L70" s="2363"/>
      <c r="M70" s="2345"/>
      <c r="N70" s="2345"/>
      <c r="O70" s="2344"/>
      <c r="P70" s="2345"/>
      <c r="Q70" s="2345"/>
      <c r="R70" s="2345"/>
      <c r="S70" s="3356"/>
      <c r="T70" s="3357"/>
    </row>
    <row r="71" spans="1:20" ht="32.25" customHeight="1">
      <c r="A71" s="2730" t="s">
        <v>3253</v>
      </c>
      <c r="B71" s="2404" t="s">
        <v>3090</v>
      </c>
      <c r="C71" s="1931"/>
      <c r="D71" s="1932" t="s">
        <v>1122</v>
      </c>
      <c r="E71" s="1174">
        <f>E69</f>
        <v>12.443</v>
      </c>
      <c r="F71" s="1933">
        <f t="shared" si="1"/>
        <v>1.0261994695812908</v>
      </c>
      <c r="G71" s="1934">
        <v>25.210999999999999</v>
      </c>
      <c r="H71" s="1935">
        <v>25.212</v>
      </c>
      <c r="I71" s="1936">
        <v>0</v>
      </c>
      <c r="J71" s="1174">
        <v>0</v>
      </c>
      <c r="K71" s="2863"/>
      <c r="L71" s="2363"/>
      <c r="M71" s="2345"/>
      <c r="N71" s="2345"/>
      <c r="O71" s="950"/>
      <c r="P71" s="2345"/>
      <c r="Q71" s="2345"/>
      <c r="R71" s="2345"/>
      <c r="S71" s="3358"/>
      <c r="T71" s="3359"/>
    </row>
    <row r="72" spans="1:20" ht="43.5" customHeight="1">
      <c r="A72" s="2731"/>
      <c r="B72" s="2411"/>
      <c r="C72" s="1931"/>
      <c r="D72" s="1932" t="s">
        <v>2928</v>
      </c>
      <c r="E72" s="1174"/>
      <c r="F72" s="1933"/>
      <c r="G72" s="1934">
        <v>12.61</v>
      </c>
      <c r="H72" s="1935"/>
      <c r="I72" s="1936"/>
      <c r="J72" s="1174"/>
      <c r="K72" s="2863"/>
      <c r="L72" s="2363"/>
      <c r="M72" s="2345"/>
      <c r="N72" s="2345"/>
      <c r="O72" s="950"/>
      <c r="P72" s="2345"/>
      <c r="Q72" s="2345"/>
      <c r="R72" s="2345"/>
      <c r="S72" s="730"/>
      <c r="T72" s="731"/>
    </row>
    <row r="73" spans="1:20" ht="34.5" customHeight="1">
      <c r="A73" s="2732"/>
      <c r="B73" s="2405"/>
      <c r="C73" s="1931"/>
      <c r="D73" s="1937" t="s">
        <v>1076</v>
      </c>
      <c r="E73" s="1938">
        <f>E71+E72</f>
        <v>12.443</v>
      </c>
      <c r="F73" s="1939">
        <f t="shared" ref="F73" si="18">H73/E73-1</f>
        <v>1.0261994695812908</v>
      </c>
      <c r="G73" s="1940">
        <f>G71+G72</f>
        <v>37.820999999999998</v>
      </c>
      <c r="H73" s="1938">
        <f>H71+H72</f>
        <v>25.212</v>
      </c>
      <c r="I73" s="1938">
        <f t="shared" ref="I73:J73" si="19">I71+I72</f>
        <v>0</v>
      </c>
      <c r="J73" s="1938">
        <f t="shared" si="19"/>
        <v>0</v>
      </c>
      <c r="K73" s="2403"/>
      <c r="L73" s="2350"/>
      <c r="M73" s="2344"/>
      <c r="N73" s="2344"/>
      <c r="O73" s="950"/>
      <c r="P73" s="2344"/>
      <c r="Q73" s="2344"/>
      <c r="R73" s="2344"/>
      <c r="S73" s="730"/>
      <c r="T73" s="731"/>
    </row>
    <row r="74" spans="1:20" ht="74.45" customHeight="1">
      <c r="A74" s="1017" t="s">
        <v>3113</v>
      </c>
      <c r="B74" s="954" t="s">
        <v>2604</v>
      </c>
      <c r="C74" s="1509"/>
      <c r="D74" s="1509"/>
      <c r="E74" s="1095">
        <f>SUM(E76,E78,E80,E82,E85)</f>
        <v>302.97499999999997</v>
      </c>
      <c r="F74" s="1885">
        <f t="shared" si="1"/>
        <v>-0.29862199851472881</v>
      </c>
      <c r="G74" s="1886">
        <f>SUM(G76,G78,G80,G82,G85)</f>
        <v>212.5</v>
      </c>
      <c r="H74" s="1095">
        <f>SUM(H76,H78,H80,H82,H85)</f>
        <v>212.5</v>
      </c>
      <c r="I74" s="1927">
        <f>SUM(I76,I78,I80,I82,I85)</f>
        <v>212.5</v>
      </c>
      <c r="J74" s="1095">
        <f>SUM(J76,J78,J80,J82,J85)</f>
        <v>212.5</v>
      </c>
      <c r="K74" s="577" t="s">
        <v>3114</v>
      </c>
      <c r="L74" s="1017"/>
      <c r="M74" s="970" t="s">
        <v>3115</v>
      </c>
      <c r="N74" s="954" t="s">
        <v>3116</v>
      </c>
      <c r="O74" s="1017">
        <v>19.5</v>
      </c>
      <c r="P74" s="1017">
        <v>11.28</v>
      </c>
      <c r="Q74" s="1017">
        <v>11.28</v>
      </c>
      <c r="R74" s="1017">
        <v>11.28</v>
      </c>
      <c r="S74" s="3364"/>
      <c r="T74" s="3365"/>
    </row>
    <row r="75" spans="1:20" ht="36" hidden="1" customHeight="1">
      <c r="A75" s="3271" t="s">
        <v>3117</v>
      </c>
      <c r="B75" s="3266" t="s">
        <v>2954</v>
      </c>
      <c r="C75" s="3274">
        <v>188711925</v>
      </c>
      <c r="D75" s="1941" t="s">
        <v>2928</v>
      </c>
      <c r="E75" s="1908">
        <v>46.67</v>
      </c>
      <c r="F75" s="1909">
        <f t="shared" si="1"/>
        <v>-1</v>
      </c>
      <c r="G75" s="1924"/>
      <c r="H75" s="1908">
        <v>0</v>
      </c>
      <c r="I75" s="1912">
        <v>0</v>
      </c>
      <c r="J75" s="1913"/>
      <c r="K75" s="3276" t="s">
        <v>2438</v>
      </c>
      <c r="L75" s="3366" t="s">
        <v>3221</v>
      </c>
      <c r="M75" s="3368" t="s">
        <v>3118</v>
      </c>
      <c r="N75" s="3280" t="s">
        <v>3119</v>
      </c>
      <c r="O75" s="3280" t="s">
        <v>434</v>
      </c>
      <c r="P75" s="3281" t="s">
        <v>324</v>
      </c>
      <c r="Q75" s="3281" t="s">
        <v>434</v>
      </c>
      <c r="R75" s="1681"/>
      <c r="S75" s="3369" t="s">
        <v>3110</v>
      </c>
      <c r="T75" s="3370"/>
    </row>
    <row r="76" spans="1:20" ht="46.15" hidden="1" customHeight="1">
      <c r="A76" s="3272"/>
      <c r="B76" s="3273"/>
      <c r="C76" s="3275"/>
      <c r="D76" s="1942" t="s">
        <v>1076</v>
      </c>
      <c r="E76" s="1913">
        <f t="shared" ref="E76:I76" si="20">SUM(E75:E75)</f>
        <v>46.67</v>
      </c>
      <c r="F76" s="1909">
        <f t="shared" si="1"/>
        <v>-1</v>
      </c>
      <c r="G76" s="1915"/>
      <c r="H76" s="1913">
        <f t="shared" si="20"/>
        <v>0</v>
      </c>
      <c r="I76" s="1916">
        <f t="shared" si="20"/>
        <v>0</v>
      </c>
      <c r="J76" s="1913"/>
      <c r="K76" s="3277"/>
      <c r="L76" s="3367"/>
      <c r="M76" s="3368"/>
      <c r="N76" s="3368"/>
      <c r="O76" s="3368"/>
      <c r="P76" s="3280"/>
      <c r="Q76" s="3280"/>
      <c r="R76" s="1681"/>
      <c r="S76" s="3371"/>
      <c r="T76" s="3372"/>
    </row>
    <row r="77" spans="1:20" s="460" customFormat="1" ht="40.9" hidden="1" customHeight="1">
      <c r="A77" s="3271" t="s">
        <v>3120</v>
      </c>
      <c r="B77" s="3266" t="s">
        <v>1290</v>
      </c>
      <c r="C77" s="3274" t="s">
        <v>1208</v>
      </c>
      <c r="D77" s="1941" t="s">
        <v>471</v>
      </c>
      <c r="E77" s="1908">
        <v>0</v>
      </c>
      <c r="F77" s="1909" t="e">
        <f t="shared" si="1"/>
        <v>#DIV/0!</v>
      </c>
      <c r="G77" s="1924"/>
      <c r="H77" s="1908">
        <v>0</v>
      </c>
      <c r="I77" s="1912">
        <v>0</v>
      </c>
      <c r="J77" s="1913"/>
      <c r="K77" s="3276" t="s">
        <v>2488</v>
      </c>
      <c r="L77" s="3373" t="s">
        <v>3121</v>
      </c>
      <c r="M77" s="3368" t="s">
        <v>3122</v>
      </c>
      <c r="N77" s="3280" t="s">
        <v>3123</v>
      </c>
      <c r="O77" s="3280" t="s">
        <v>434</v>
      </c>
      <c r="P77" s="3281" t="s">
        <v>434</v>
      </c>
      <c r="Q77" s="3281" t="s">
        <v>324</v>
      </c>
      <c r="R77" s="1681"/>
      <c r="S77" s="3375" t="s">
        <v>3123</v>
      </c>
      <c r="T77" s="3376"/>
    </row>
    <row r="78" spans="1:20" s="460" customFormat="1" ht="31.5" hidden="1" customHeight="1">
      <c r="A78" s="3272"/>
      <c r="B78" s="3273"/>
      <c r="C78" s="3275"/>
      <c r="D78" s="1942" t="s">
        <v>1076</v>
      </c>
      <c r="E78" s="1913">
        <f t="shared" ref="E78:I78" si="21">SUM(E77:E77)</f>
        <v>0</v>
      </c>
      <c r="F78" s="1909" t="e">
        <f t="shared" si="1"/>
        <v>#DIV/0!</v>
      </c>
      <c r="G78" s="1915"/>
      <c r="H78" s="1913">
        <f t="shared" si="21"/>
        <v>0</v>
      </c>
      <c r="I78" s="1916">
        <f t="shared" si="21"/>
        <v>0</v>
      </c>
      <c r="J78" s="1913"/>
      <c r="K78" s="3277"/>
      <c r="L78" s="3374"/>
      <c r="M78" s="3368"/>
      <c r="N78" s="3368"/>
      <c r="O78" s="3368"/>
      <c r="P78" s="3280"/>
      <c r="Q78" s="3280"/>
      <c r="R78" s="1681"/>
      <c r="S78" s="3377"/>
      <c r="T78" s="3378"/>
    </row>
    <row r="79" spans="1:20" s="460" customFormat="1" ht="55.15" hidden="1" customHeight="1">
      <c r="A79" s="3272" t="s">
        <v>3124</v>
      </c>
      <c r="B79" s="3381" t="s">
        <v>1291</v>
      </c>
      <c r="C79" s="3339">
        <v>188711925</v>
      </c>
      <c r="D79" s="1907" t="s">
        <v>471</v>
      </c>
      <c r="E79" s="1913"/>
      <c r="F79" s="1909" t="e">
        <f t="shared" si="1"/>
        <v>#DIV/0!</v>
      </c>
      <c r="G79" s="1910"/>
      <c r="H79" s="1943"/>
      <c r="I79" s="1916"/>
      <c r="J79" s="1913"/>
      <c r="K79" s="3276" t="s">
        <v>2488</v>
      </c>
      <c r="L79" s="3342" t="s">
        <v>3125</v>
      </c>
      <c r="M79" s="3368" t="s">
        <v>3126</v>
      </c>
      <c r="N79" s="3280" t="s">
        <v>3127</v>
      </c>
      <c r="O79" s="3280" t="s">
        <v>434</v>
      </c>
      <c r="P79" s="3281" t="s">
        <v>434</v>
      </c>
      <c r="Q79" s="3281" t="s">
        <v>324</v>
      </c>
      <c r="R79" s="1681"/>
      <c r="S79" s="3377"/>
      <c r="T79" s="3378"/>
    </row>
    <row r="80" spans="1:20" s="460" customFormat="1" ht="36" hidden="1" customHeight="1">
      <c r="A80" s="3272"/>
      <c r="B80" s="3381"/>
      <c r="C80" s="3339"/>
      <c r="D80" s="1944" t="s">
        <v>1076</v>
      </c>
      <c r="E80" s="1913">
        <f t="shared" ref="E80:I80" si="22">E79</f>
        <v>0</v>
      </c>
      <c r="F80" s="1909" t="e">
        <f t="shared" si="1"/>
        <v>#DIV/0!</v>
      </c>
      <c r="G80" s="1915"/>
      <c r="H80" s="1913">
        <f t="shared" si="22"/>
        <v>0</v>
      </c>
      <c r="I80" s="1916">
        <f t="shared" si="22"/>
        <v>0</v>
      </c>
      <c r="J80" s="1913"/>
      <c r="K80" s="3277"/>
      <c r="L80" s="3382"/>
      <c r="M80" s="3368"/>
      <c r="N80" s="3368"/>
      <c r="O80" s="3368"/>
      <c r="P80" s="3280"/>
      <c r="Q80" s="3280"/>
      <c r="R80" s="1681"/>
      <c r="S80" s="3377"/>
      <c r="T80" s="3378"/>
    </row>
    <row r="81" spans="1:20" ht="38.450000000000003" hidden="1" customHeight="1">
      <c r="A81" s="3272" t="s">
        <v>3128</v>
      </c>
      <c r="B81" s="3381" t="s">
        <v>2955</v>
      </c>
      <c r="C81" s="3339">
        <v>188711925</v>
      </c>
      <c r="D81" s="1907" t="s">
        <v>246</v>
      </c>
      <c r="E81" s="1913">
        <v>8.3849999999999998</v>
      </c>
      <c r="F81" s="1909">
        <f t="shared" si="1"/>
        <v>-1</v>
      </c>
      <c r="G81" s="1910"/>
      <c r="H81" s="1943"/>
      <c r="I81" s="1916"/>
      <c r="J81" s="1913"/>
      <c r="K81" s="3276" t="s">
        <v>2488</v>
      </c>
      <c r="L81" s="3342" t="s">
        <v>3129</v>
      </c>
      <c r="M81" s="3368" t="s">
        <v>3130</v>
      </c>
      <c r="N81" s="3280" t="s">
        <v>3131</v>
      </c>
      <c r="O81" s="3280" t="s">
        <v>324</v>
      </c>
      <c r="P81" s="3281" t="s">
        <v>434</v>
      </c>
      <c r="Q81" s="3281" t="s">
        <v>434</v>
      </c>
      <c r="R81" s="947"/>
      <c r="S81" s="3377"/>
      <c r="T81" s="3378"/>
    </row>
    <row r="82" spans="1:20" ht="42" hidden="1" customHeight="1">
      <c r="A82" s="3272"/>
      <c r="B82" s="3381"/>
      <c r="C82" s="3339"/>
      <c r="D82" s="1944" t="s">
        <v>1076</v>
      </c>
      <c r="E82" s="1913">
        <f t="shared" ref="E82:I82" si="23">E81</f>
        <v>8.3849999999999998</v>
      </c>
      <c r="F82" s="1909">
        <f t="shared" si="1"/>
        <v>-1</v>
      </c>
      <c r="G82" s="1915"/>
      <c r="H82" s="1913">
        <f t="shared" si="23"/>
        <v>0</v>
      </c>
      <c r="I82" s="1916">
        <f t="shared" si="23"/>
        <v>0</v>
      </c>
      <c r="J82" s="1913"/>
      <c r="K82" s="3277"/>
      <c r="L82" s="3382"/>
      <c r="M82" s="3368"/>
      <c r="N82" s="3368"/>
      <c r="O82" s="3368"/>
      <c r="P82" s="3280"/>
      <c r="Q82" s="3280"/>
      <c r="R82" s="947"/>
      <c r="S82" s="3379"/>
      <c r="T82" s="3380"/>
    </row>
    <row r="83" spans="1:20" ht="36" customHeight="1">
      <c r="A83" s="2727" t="s">
        <v>3132</v>
      </c>
      <c r="B83" s="2728" t="s">
        <v>2956</v>
      </c>
      <c r="C83" s="2722">
        <v>188711925</v>
      </c>
      <c r="D83" s="1945" t="s">
        <v>2928</v>
      </c>
      <c r="E83" s="1053">
        <v>247.92</v>
      </c>
      <c r="F83" s="1889">
        <f t="shared" si="1"/>
        <v>-0.14286866731203607</v>
      </c>
      <c r="G83" s="1789">
        <v>212.5</v>
      </c>
      <c r="H83" s="1053">
        <v>212.5</v>
      </c>
      <c r="I83" s="1090"/>
      <c r="J83" s="1053"/>
      <c r="K83" s="2894" t="s">
        <v>842</v>
      </c>
      <c r="L83" s="2349" t="s">
        <v>3931</v>
      </c>
      <c r="M83" s="2342" t="s">
        <v>3133</v>
      </c>
      <c r="N83" s="2344" t="s">
        <v>3134</v>
      </c>
      <c r="O83" s="2343" t="s">
        <v>434</v>
      </c>
      <c r="P83" s="2343" t="s">
        <v>434</v>
      </c>
      <c r="Q83" s="2343" t="s">
        <v>434</v>
      </c>
      <c r="R83" s="2342" t="s">
        <v>434</v>
      </c>
      <c r="S83" s="3383" t="s">
        <v>3135</v>
      </c>
      <c r="T83" s="3384"/>
    </row>
    <row r="84" spans="1:20" ht="36" customHeight="1">
      <c r="A84" s="2727"/>
      <c r="B84" s="2729"/>
      <c r="C84" s="2723"/>
      <c r="D84" s="1946" t="s">
        <v>471</v>
      </c>
      <c r="E84" s="1053"/>
      <c r="F84" s="1889"/>
      <c r="G84" s="1789"/>
      <c r="H84" s="1053"/>
      <c r="I84" s="1118">
        <v>212.5</v>
      </c>
      <c r="J84" s="1162">
        <v>212.5</v>
      </c>
      <c r="K84" s="2907"/>
      <c r="L84" s="2363"/>
      <c r="M84" s="2342"/>
      <c r="N84" s="2344"/>
      <c r="O84" s="2345"/>
      <c r="P84" s="2345"/>
      <c r="Q84" s="2345"/>
      <c r="R84" s="2342"/>
      <c r="S84" s="3385"/>
      <c r="T84" s="3386"/>
    </row>
    <row r="85" spans="1:20" ht="39.75" customHeight="1">
      <c r="A85" s="2727"/>
      <c r="B85" s="2729"/>
      <c r="C85" s="2723"/>
      <c r="D85" s="1087" t="s">
        <v>1076</v>
      </c>
      <c r="E85" s="1089">
        <f>E83</f>
        <v>247.92</v>
      </c>
      <c r="F85" s="1897">
        <f t="shared" si="1"/>
        <v>-0.14286866731203607</v>
      </c>
      <c r="G85" s="1901">
        <f>G83</f>
        <v>212.5</v>
      </c>
      <c r="H85" s="1089">
        <f t="shared" ref="H85" si="24">H83</f>
        <v>212.5</v>
      </c>
      <c r="I85" s="1089">
        <f>I84</f>
        <v>212.5</v>
      </c>
      <c r="J85" s="1089">
        <f>J84</f>
        <v>212.5</v>
      </c>
      <c r="K85" s="2895"/>
      <c r="L85" s="2401"/>
      <c r="M85" s="2342"/>
      <c r="N85" s="2342"/>
      <c r="O85" s="2344"/>
      <c r="P85" s="2344"/>
      <c r="Q85" s="2344"/>
      <c r="R85" s="2342"/>
      <c r="S85" s="3387"/>
      <c r="T85" s="3388"/>
    </row>
    <row r="86" spans="1:20" ht="59.25" customHeight="1">
      <c r="A86" s="1017" t="s">
        <v>3136</v>
      </c>
      <c r="B86" s="954" t="s">
        <v>2205</v>
      </c>
      <c r="C86" s="1017"/>
      <c r="D86" s="1017"/>
      <c r="E86" s="1095">
        <f>SUM(E92,E118,E124,E130,E136,E139,E141,E151)</f>
        <v>552</v>
      </c>
      <c r="F86" s="1885">
        <f t="shared" si="1"/>
        <v>1.7418079710144929</v>
      </c>
      <c r="G86" s="1886">
        <f>SUM(G92,G118,G124,G130,G136,G139,G141,G151)</f>
        <v>453.05799999999999</v>
      </c>
      <c r="H86" s="1095">
        <f>SUM(H92,H118,H124,H130,H136,H139,H141,H151)</f>
        <v>1513.4780000000001</v>
      </c>
      <c r="I86" s="1927">
        <f>SUM(I92,I118,I124,I130,I136,I139,I141,I151)</f>
        <v>3320.1280000000002</v>
      </c>
      <c r="J86" s="1095">
        <f>SUM(J92,J118,J124,J130,J136,J139,J141,J151)</f>
        <v>3192.848</v>
      </c>
      <c r="K86" s="577" t="s">
        <v>849</v>
      </c>
      <c r="L86" s="1017"/>
      <c r="M86" s="1017" t="s">
        <v>3137</v>
      </c>
      <c r="N86" s="954" t="s">
        <v>3138</v>
      </c>
      <c r="O86" s="1017">
        <v>72</v>
      </c>
      <c r="P86" s="1017">
        <v>55</v>
      </c>
      <c r="Q86" s="1017">
        <v>54</v>
      </c>
      <c r="R86" s="1017">
        <v>53</v>
      </c>
      <c r="S86" s="3389" t="s">
        <v>3138</v>
      </c>
      <c r="T86" s="3390"/>
    </row>
    <row r="87" spans="1:20" ht="30.75" customHeight="1">
      <c r="A87" s="2746" t="s">
        <v>3139</v>
      </c>
      <c r="B87" s="2355" t="s">
        <v>2415</v>
      </c>
      <c r="C87" s="2783" t="s">
        <v>1208</v>
      </c>
      <c r="D87" s="1360" t="s">
        <v>246</v>
      </c>
      <c r="E87" s="1100">
        <f>SUM(E93,E98)</f>
        <v>86.4</v>
      </c>
      <c r="F87" s="1889"/>
      <c r="G87" s="1894"/>
      <c r="H87" s="1100">
        <f>SUM(H93,H98)</f>
        <v>0</v>
      </c>
      <c r="I87" s="1117">
        <f>I93</f>
        <v>819.85799999999995</v>
      </c>
      <c r="J87" s="1053">
        <f>SUM(J93,J98)</f>
        <v>1612.356</v>
      </c>
      <c r="K87" s="2894" t="s">
        <v>3140</v>
      </c>
      <c r="L87" s="2350" t="s">
        <v>3141</v>
      </c>
      <c r="M87" s="2344" t="s">
        <v>3142</v>
      </c>
      <c r="N87" s="2344" t="s">
        <v>3143</v>
      </c>
      <c r="O87" s="2355"/>
      <c r="P87" s="2354" t="s">
        <v>434</v>
      </c>
      <c r="Q87" s="2354" t="s">
        <v>434</v>
      </c>
      <c r="R87" s="2354" t="s">
        <v>434</v>
      </c>
      <c r="S87" s="3383" t="s">
        <v>3144</v>
      </c>
      <c r="T87" s="3384"/>
    </row>
    <row r="88" spans="1:20" ht="32.25" customHeight="1">
      <c r="A88" s="2746"/>
      <c r="B88" s="2355"/>
      <c r="C88" s="2783"/>
      <c r="D88" s="1360" t="s">
        <v>413</v>
      </c>
      <c r="E88" s="1100"/>
      <c r="F88" s="1889"/>
      <c r="G88" s="1894"/>
      <c r="H88" s="1100"/>
      <c r="I88" s="1117"/>
      <c r="J88" s="1053"/>
      <c r="K88" s="2907"/>
      <c r="L88" s="2350"/>
      <c r="M88" s="2344"/>
      <c r="N88" s="2344"/>
      <c r="O88" s="2355"/>
      <c r="P88" s="2617"/>
      <c r="Q88" s="2617"/>
      <c r="R88" s="2617"/>
      <c r="S88" s="3385"/>
      <c r="T88" s="3386"/>
    </row>
    <row r="89" spans="1:20" ht="30.75" customHeight="1">
      <c r="A89" s="2746"/>
      <c r="B89" s="2355"/>
      <c r="C89" s="2783"/>
      <c r="D89" s="1360" t="s">
        <v>2928</v>
      </c>
      <c r="E89" s="1100">
        <f>SUM(E95,E100)</f>
        <v>21.6</v>
      </c>
      <c r="F89" s="1889"/>
      <c r="G89" s="1894"/>
      <c r="H89" s="1100">
        <v>20</v>
      </c>
      <c r="I89" s="1117">
        <v>0</v>
      </c>
      <c r="J89" s="1053">
        <v>0</v>
      </c>
      <c r="K89" s="2907"/>
      <c r="L89" s="2350"/>
      <c r="M89" s="2344"/>
      <c r="N89" s="2344"/>
      <c r="O89" s="2355"/>
      <c r="P89" s="2617"/>
      <c r="Q89" s="2617"/>
      <c r="R89" s="2617"/>
      <c r="S89" s="3385"/>
      <c r="T89" s="3386"/>
    </row>
    <row r="90" spans="1:20" ht="27.75" customHeight="1">
      <c r="A90" s="2746"/>
      <c r="B90" s="2355"/>
      <c r="C90" s="2783"/>
      <c r="D90" s="1360" t="s">
        <v>471</v>
      </c>
      <c r="E90" s="1100"/>
      <c r="F90" s="1889"/>
      <c r="G90" s="1947"/>
      <c r="H90" s="1100"/>
      <c r="I90" s="1117">
        <v>104.765</v>
      </c>
      <c r="J90" s="1053"/>
      <c r="K90" s="2907"/>
      <c r="L90" s="2350"/>
      <c r="M90" s="2344"/>
      <c r="N90" s="2344"/>
      <c r="O90" s="2355"/>
      <c r="P90" s="2617"/>
      <c r="Q90" s="2617"/>
      <c r="R90" s="2617"/>
      <c r="S90" s="3385"/>
      <c r="T90" s="3386"/>
    </row>
    <row r="91" spans="1:20" ht="27.75" customHeight="1">
      <c r="A91" s="2746"/>
      <c r="B91" s="2355"/>
      <c r="C91" s="2783"/>
      <c r="D91" s="1360" t="s">
        <v>1394</v>
      </c>
      <c r="E91" s="1100"/>
      <c r="F91" s="1889"/>
      <c r="G91" s="1947"/>
      <c r="H91" s="1100"/>
      <c r="I91" s="1117"/>
      <c r="J91" s="1053">
        <v>323.089</v>
      </c>
      <c r="K91" s="2907"/>
      <c r="L91" s="2350"/>
      <c r="M91" s="2344"/>
      <c r="N91" s="2344"/>
      <c r="O91" s="2355"/>
      <c r="P91" s="2617"/>
      <c r="Q91" s="2617"/>
      <c r="R91" s="2617"/>
      <c r="S91" s="3385"/>
      <c r="T91" s="3386"/>
    </row>
    <row r="92" spans="1:20" ht="32.25" customHeight="1">
      <c r="A92" s="2727"/>
      <c r="B92" s="2465"/>
      <c r="C92" s="2466"/>
      <c r="D92" s="1056" t="s">
        <v>1076</v>
      </c>
      <c r="E92" s="1059">
        <f>SUM(E87:E89)</f>
        <v>108</v>
      </c>
      <c r="F92" s="1897"/>
      <c r="G92" s="1899">
        <f>SUM(G87,G88,G89,G90,)</f>
        <v>0</v>
      </c>
      <c r="H92" s="1059">
        <f t="shared" ref="H92:I92" si="25">SUM(H87,H88,H89,H90,)</f>
        <v>20</v>
      </c>
      <c r="I92" s="1059">
        <f t="shared" si="25"/>
        <v>924.62299999999993</v>
      </c>
      <c r="J92" s="1059">
        <f>SUM(J87,J88,J89,J90:J91,)</f>
        <v>1935.4449999999999</v>
      </c>
      <c r="K92" s="2895"/>
      <c r="L92" s="2396"/>
      <c r="M92" s="2342"/>
      <c r="N92" s="2342"/>
      <c r="O92" s="2465"/>
      <c r="P92" s="2355"/>
      <c r="Q92" s="2355"/>
      <c r="R92" s="2355"/>
      <c r="S92" s="3387"/>
      <c r="T92" s="3388"/>
    </row>
    <row r="93" spans="1:20" s="460" customFormat="1" ht="21" hidden="1" customHeight="1">
      <c r="A93" s="3391" t="s">
        <v>3145</v>
      </c>
      <c r="B93" s="3392" t="s">
        <v>3354</v>
      </c>
      <c r="C93" s="3393">
        <v>188711925</v>
      </c>
      <c r="D93" s="1948" t="s">
        <v>246</v>
      </c>
      <c r="E93" s="1949">
        <f>108*80%</f>
        <v>86.4</v>
      </c>
      <c r="F93" s="1950"/>
      <c r="G93" s="1646">
        <v>100</v>
      </c>
      <c r="H93" s="1949"/>
      <c r="I93" s="1951">
        <v>819.85799999999995</v>
      </c>
      <c r="J93" s="1949">
        <v>1612.356</v>
      </c>
      <c r="K93" s="2035"/>
      <c r="L93" s="3394" t="s">
        <v>3531</v>
      </c>
      <c r="M93" s="3397" t="s">
        <v>3146</v>
      </c>
      <c r="N93" s="3397" t="s">
        <v>3144</v>
      </c>
      <c r="O93" s="3399"/>
      <c r="P93" s="3401"/>
      <c r="Q93" s="3401"/>
      <c r="R93" s="3401"/>
      <c r="S93" s="475" t="s">
        <v>3147</v>
      </c>
      <c r="T93" s="474" t="s">
        <v>3144</v>
      </c>
    </row>
    <row r="94" spans="1:20" s="460" customFormat="1" ht="21" hidden="1" customHeight="1">
      <c r="A94" s="3391"/>
      <c r="B94" s="3392"/>
      <c r="C94" s="3393"/>
      <c r="D94" s="1948" t="s">
        <v>413</v>
      </c>
      <c r="E94" s="1948"/>
      <c r="F94" s="1950"/>
      <c r="G94" s="1953"/>
      <c r="H94" s="1948"/>
      <c r="I94" s="1954"/>
      <c r="J94" s="1948"/>
      <c r="K94" s="2035"/>
      <c r="L94" s="3395"/>
      <c r="M94" s="3397"/>
      <c r="N94" s="3397"/>
      <c r="O94" s="3399"/>
      <c r="P94" s="3402"/>
      <c r="Q94" s="3402"/>
      <c r="R94" s="3402"/>
      <c r="S94" s="476"/>
      <c r="T94" s="477"/>
    </row>
    <row r="95" spans="1:20" s="460" customFormat="1" ht="21" hidden="1" customHeight="1">
      <c r="A95" s="3391"/>
      <c r="B95" s="3392"/>
      <c r="C95" s="3393"/>
      <c r="D95" s="1948" t="s">
        <v>3356</v>
      </c>
      <c r="E95" s="1949">
        <f>108*20%</f>
        <v>21.6</v>
      </c>
      <c r="F95" s="1950"/>
      <c r="G95" s="1646">
        <v>20</v>
      </c>
      <c r="H95" s="1949"/>
      <c r="I95" s="1951">
        <f>46.795</f>
        <v>46.795000000000002</v>
      </c>
      <c r="J95" s="1949">
        <v>423.089</v>
      </c>
      <c r="K95" s="2035"/>
      <c r="L95" s="3395"/>
      <c r="M95" s="3397"/>
      <c r="N95" s="3397"/>
      <c r="O95" s="3399"/>
      <c r="P95" s="3402"/>
      <c r="Q95" s="3402"/>
      <c r="R95" s="3402"/>
      <c r="S95" s="476"/>
      <c r="T95" s="477"/>
    </row>
    <row r="96" spans="1:20" s="460" customFormat="1" ht="43.5" hidden="1" customHeight="1">
      <c r="A96" s="3391"/>
      <c r="B96" s="3392"/>
      <c r="C96" s="3393"/>
      <c r="D96" s="1955" t="s">
        <v>3355</v>
      </c>
      <c r="E96" s="1956"/>
      <c r="F96" s="1950"/>
      <c r="G96" s="1957"/>
      <c r="H96" s="1956"/>
      <c r="I96" s="1958">
        <f>SUM(I106,I107,I108,I109,I112,I113,I114,I115)</f>
        <v>157.97</v>
      </c>
      <c r="J96" s="1949"/>
      <c r="K96" s="2036"/>
      <c r="L96" s="3395"/>
      <c r="M96" s="3397"/>
      <c r="N96" s="3397"/>
      <c r="O96" s="3399"/>
      <c r="P96" s="3402"/>
      <c r="Q96" s="3402"/>
      <c r="R96" s="3402"/>
      <c r="S96" s="476"/>
      <c r="T96" s="477"/>
    </row>
    <row r="97" spans="1:25" s="460" customFormat="1" ht="230.25" hidden="1" customHeight="1">
      <c r="A97" s="3391"/>
      <c r="B97" s="3392"/>
      <c r="C97" s="3393"/>
      <c r="D97" s="1959" t="s">
        <v>1076</v>
      </c>
      <c r="E97" s="1960">
        <f>SUM(E93:E95)</f>
        <v>108</v>
      </c>
      <c r="F97" s="1950"/>
      <c r="G97" s="1957"/>
      <c r="H97" s="1960"/>
      <c r="I97" s="1961"/>
      <c r="J97" s="1962"/>
      <c r="K97" s="2036"/>
      <c r="L97" s="3396"/>
      <c r="M97" s="3398"/>
      <c r="N97" s="3398"/>
      <c r="O97" s="3400"/>
      <c r="P97" s="3399"/>
      <c r="Q97" s="3399"/>
      <c r="R97" s="3399"/>
      <c r="S97" s="467"/>
      <c r="T97" s="477"/>
    </row>
    <row r="98" spans="1:25" s="460" customFormat="1" ht="21" hidden="1" customHeight="1">
      <c r="A98" s="3403" t="s">
        <v>3148</v>
      </c>
      <c r="B98" s="3406" t="s">
        <v>2408</v>
      </c>
      <c r="C98" s="3409" t="s">
        <v>1080</v>
      </c>
      <c r="D98" s="1948" t="s">
        <v>246</v>
      </c>
      <c r="E98" s="1949"/>
      <c r="F98" s="1950"/>
      <c r="G98" s="1646"/>
      <c r="H98" s="1949"/>
      <c r="I98" s="1951"/>
      <c r="J98" s="1949"/>
      <c r="K98" s="2035"/>
      <c r="L98" s="3394" t="s">
        <v>3149</v>
      </c>
      <c r="M98" s="3413" t="s">
        <v>3150</v>
      </c>
      <c r="N98" s="3413" t="s">
        <v>3151</v>
      </c>
      <c r="O98" s="3401"/>
      <c r="P98" s="3401"/>
      <c r="Q98" s="3401" t="s">
        <v>324</v>
      </c>
      <c r="R98" s="1952"/>
      <c r="S98" s="475" t="s">
        <v>3147</v>
      </c>
      <c r="T98" s="474" t="s">
        <v>3144</v>
      </c>
    </row>
    <row r="99" spans="1:25" s="460" customFormat="1" ht="21" hidden="1" customHeight="1">
      <c r="A99" s="3404"/>
      <c r="B99" s="3407"/>
      <c r="C99" s="3410"/>
      <c r="D99" s="1948" t="s">
        <v>413</v>
      </c>
      <c r="E99" s="1948"/>
      <c r="F99" s="1950"/>
      <c r="G99" s="1953"/>
      <c r="H99" s="1948"/>
      <c r="I99" s="1954"/>
      <c r="J99" s="1948"/>
      <c r="K99" s="2035"/>
      <c r="L99" s="3395"/>
      <c r="M99" s="3414"/>
      <c r="N99" s="3414"/>
      <c r="O99" s="3402"/>
      <c r="P99" s="3402"/>
      <c r="Q99" s="3402"/>
      <c r="R99" s="1952"/>
      <c r="S99" s="476"/>
      <c r="T99" s="477"/>
    </row>
    <row r="100" spans="1:25" s="460" customFormat="1" ht="21" hidden="1" customHeight="1">
      <c r="A100" s="3404"/>
      <c r="B100" s="3407"/>
      <c r="C100" s="3410"/>
      <c r="D100" s="1948" t="s">
        <v>471</v>
      </c>
      <c r="E100" s="1949"/>
      <c r="F100" s="1950"/>
      <c r="G100" s="1646"/>
      <c r="H100" s="1949"/>
      <c r="I100" s="1951"/>
      <c r="J100" s="1949"/>
      <c r="K100" s="2035"/>
      <c r="L100" s="3395"/>
      <c r="M100" s="3414"/>
      <c r="N100" s="3414"/>
      <c r="O100" s="3402"/>
      <c r="P100" s="3402"/>
      <c r="Q100" s="3402"/>
      <c r="R100" s="1952"/>
      <c r="S100" s="476"/>
      <c r="T100" s="477"/>
    </row>
    <row r="101" spans="1:25" s="460" customFormat="1" ht="72" hidden="1" customHeight="1">
      <c r="A101" s="3405"/>
      <c r="B101" s="3408"/>
      <c r="C101" s="3411"/>
      <c r="D101" s="1964" t="s">
        <v>1076</v>
      </c>
      <c r="E101" s="1965">
        <f t="shared" ref="E101:I101" si="26">SUM(E98:E100)</f>
        <v>0</v>
      </c>
      <c r="F101" s="1950"/>
      <c r="G101" s="1966"/>
      <c r="H101" s="1965">
        <f t="shared" si="26"/>
        <v>0</v>
      </c>
      <c r="I101" s="1961">
        <f t="shared" si="26"/>
        <v>0</v>
      </c>
      <c r="J101" s="1962"/>
      <c r="K101" s="2036"/>
      <c r="L101" s="3412"/>
      <c r="M101" s="3397"/>
      <c r="N101" s="3397"/>
      <c r="O101" s="3399"/>
      <c r="P101" s="3399"/>
      <c r="Q101" s="3399"/>
      <c r="R101" s="1963"/>
      <c r="S101" s="467"/>
      <c r="T101" s="477"/>
    </row>
    <row r="102" spans="1:25" s="460" customFormat="1" ht="21" hidden="1" customHeight="1">
      <c r="A102" s="3415" t="s">
        <v>3241</v>
      </c>
      <c r="B102" s="3417" t="s">
        <v>3242</v>
      </c>
      <c r="C102" s="3473" t="s">
        <v>1080</v>
      </c>
      <c r="D102" s="1967" t="s">
        <v>246</v>
      </c>
      <c r="E102" s="1671"/>
      <c r="F102" s="1968"/>
      <c r="G102" s="1670"/>
      <c r="H102" s="1671"/>
      <c r="I102" s="1969"/>
      <c r="J102" s="1671"/>
      <c r="K102" s="2037"/>
      <c r="L102" s="3475" t="s">
        <v>3149</v>
      </c>
      <c r="M102" s="3478" t="s">
        <v>3150</v>
      </c>
      <c r="N102" s="3478" t="s">
        <v>3151</v>
      </c>
      <c r="O102" s="3267"/>
      <c r="P102" s="3269"/>
      <c r="Q102" s="3269" t="s">
        <v>324</v>
      </c>
      <c r="R102" s="3269"/>
      <c r="S102" s="481" t="s">
        <v>3147</v>
      </c>
      <c r="T102" s="480" t="s">
        <v>3144</v>
      </c>
    </row>
    <row r="103" spans="1:25" s="460" customFormat="1" ht="21" hidden="1" customHeight="1">
      <c r="A103" s="3415"/>
      <c r="B103" s="3418"/>
      <c r="C103" s="3473"/>
      <c r="D103" s="1967" t="s">
        <v>413</v>
      </c>
      <c r="E103" s="1967"/>
      <c r="F103" s="1968"/>
      <c r="G103" s="1970"/>
      <c r="H103" s="1967"/>
      <c r="I103" s="1971"/>
      <c r="J103" s="1967"/>
      <c r="K103" s="2037"/>
      <c r="L103" s="3476"/>
      <c r="M103" s="3478"/>
      <c r="N103" s="3478"/>
      <c r="O103" s="3267"/>
      <c r="P103" s="3270"/>
      <c r="Q103" s="3270"/>
      <c r="R103" s="3270"/>
      <c r="S103" s="482"/>
      <c r="T103" s="483"/>
    </row>
    <row r="104" spans="1:25" s="460" customFormat="1" ht="21" hidden="1" customHeight="1">
      <c r="A104" s="3415"/>
      <c r="B104" s="3418"/>
      <c r="C104" s="3473"/>
      <c r="D104" s="1967" t="s">
        <v>471</v>
      </c>
      <c r="E104" s="1671"/>
      <c r="F104" s="1968"/>
      <c r="G104" s="1670">
        <f>SUM(G106,G107,G108,G109,G110,G111,G112,G113,G114,G115)</f>
        <v>4</v>
      </c>
      <c r="H104" s="1671"/>
      <c r="I104" s="1969"/>
      <c r="J104" s="1671"/>
      <c r="K104" s="2037"/>
      <c r="L104" s="3476"/>
      <c r="M104" s="3478"/>
      <c r="N104" s="3478"/>
      <c r="O104" s="3267"/>
      <c r="P104" s="3270"/>
      <c r="Q104" s="3270"/>
      <c r="R104" s="3270"/>
      <c r="S104" s="482"/>
      <c r="T104" s="483"/>
    </row>
    <row r="105" spans="1:25" s="460" customFormat="1" ht="20.45" hidden="1" customHeight="1">
      <c r="A105" s="3416"/>
      <c r="B105" s="3419"/>
      <c r="C105" s="3474"/>
      <c r="D105" s="1972" t="s">
        <v>1076</v>
      </c>
      <c r="E105" s="1973">
        <f t="shared" ref="E105" si="27">SUM(E102:E104)</f>
        <v>0</v>
      </c>
      <c r="F105" s="1968"/>
      <c r="G105" s="1974"/>
      <c r="H105" s="1973"/>
      <c r="I105" s="1975"/>
      <c r="J105" s="1976"/>
      <c r="K105" s="2038"/>
      <c r="L105" s="3477"/>
      <c r="M105" s="3479"/>
      <c r="N105" s="3479"/>
      <c r="O105" s="3268"/>
      <c r="P105" s="3267"/>
      <c r="Q105" s="3267"/>
      <c r="R105" s="3267"/>
      <c r="S105" s="484"/>
      <c r="T105" s="483"/>
    </row>
    <row r="106" spans="1:25" s="460" customFormat="1" ht="51.6" hidden="1" customHeight="1">
      <c r="A106" s="1977" t="s">
        <v>3241</v>
      </c>
      <c r="B106" s="1978" t="s">
        <v>3231</v>
      </c>
      <c r="C106" s="1979"/>
      <c r="D106" s="1980"/>
      <c r="E106" s="1981"/>
      <c r="F106" s="1968"/>
      <c r="G106" s="1982">
        <v>0</v>
      </c>
      <c r="H106" s="1981"/>
      <c r="I106" s="1983">
        <v>60</v>
      </c>
      <c r="J106" s="1981" t="s">
        <v>2679</v>
      </c>
      <c r="K106" s="2039"/>
      <c r="L106" s="1984"/>
      <c r="M106" s="1985"/>
      <c r="N106" s="1985"/>
      <c r="O106" s="1986"/>
      <c r="P106" s="1987"/>
      <c r="Q106" s="1987"/>
      <c r="R106" s="1988"/>
      <c r="S106" s="478"/>
      <c r="T106" s="479"/>
    </row>
    <row r="107" spans="1:25" s="460" customFormat="1" ht="37.15" hidden="1" customHeight="1">
      <c r="A107" s="1977"/>
      <c r="B107" s="1978" t="s">
        <v>3232</v>
      </c>
      <c r="C107" s="1979"/>
      <c r="D107" s="1980"/>
      <c r="E107" s="1981"/>
      <c r="F107" s="1968"/>
      <c r="G107" s="1982">
        <v>0</v>
      </c>
      <c r="H107" s="1981"/>
      <c r="I107" s="1983">
        <v>30</v>
      </c>
      <c r="J107" s="1981"/>
      <c r="K107" s="2039"/>
      <c r="L107" s="1984"/>
      <c r="M107" s="1985"/>
      <c r="N107" s="1985"/>
      <c r="O107" s="1986"/>
      <c r="P107" s="1988"/>
      <c r="Q107" s="1988"/>
      <c r="R107" s="1988"/>
      <c r="S107" s="478"/>
      <c r="T107" s="479"/>
      <c r="Y107" s="568">
        <f>I106+I107+I108+I109+I112+I113+I114+I115</f>
        <v>157.97</v>
      </c>
    </row>
    <row r="108" spans="1:25" s="460" customFormat="1" ht="30" hidden="1" customHeight="1">
      <c r="A108" s="1977"/>
      <c r="B108" s="1978" t="s">
        <v>3233</v>
      </c>
      <c r="C108" s="1979"/>
      <c r="D108" s="1980"/>
      <c r="E108" s="1981"/>
      <c r="F108" s="1968"/>
      <c r="G108" s="1982">
        <v>0</v>
      </c>
      <c r="H108" s="1981"/>
      <c r="I108" s="1983">
        <v>20</v>
      </c>
      <c r="J108" s="1981"/>
      <c r="K108" s="2039"/>
      <c r="L108" s="1984"/>
      <c r="M108" s="1985"/>
      <c r="N108" s="1985"/>
      <c r="O108" s="1986"/>
      <c r="P108" s="1988"/>
      <c r="Q108" s="1988"/>
      <c r="R108" s="1988"/>
      <c r="S108" s="478"/>
      <c r="T108" s="479"/>
    </row>
    <row r="109" spans="1:25" s="460" customFormat="1" ht="28.9" hidden="1" customHeight="1">
      <c r="A109" s="1977"/>
      <c r="B109" s="1978" t="s">
        <v>3234</v>
      </c>
      <c r="C109" s="1979"/>
      <c r="D109" s="1980"/>
      <c r="E109" s="1981"/>
      <c r="F109" s="1968"/>
      <c r="G109" s="1982">
        <v>0</v>
      </c>
      <c r="H109" s="1981"/>
      <c r="I109" s="1983">
        <v>30</v>
      </c>
      <c r="J109" s="1981"/>
      <c r="K109" s="2039"/>
      <c r="L109" s="1984"/>
      <c r="M109" s="1985"/>
      <c r="N109" s="1985"/>
      <c r="O109" s="1986"/>
      <c r="P109" s="1988"/>
      <c r="Q109" s="1988"/>
      <c r="R109" s="1988"/>
      <c r="S109" s="478"/>
      <c r="T109" s="479"/>
    </row>
    <row r="110" spans="1:25" s="460" customFormat="1" ht="39" hidden="1" customHeight="1">
      <c r="A110" s="1977"/>
      <c r="B110" s="1978" t="s">
        <v>3235</v>
      </c>
      <c r="C110" s="1979"/>
      <c r="D110" s="1980"/>
      <c r="E110" s="1981"/>
      <c r="F110" s="1968"/>
      <c r="G110" s="1982">
        <v>2</v>
      </c>
      <c r="H110" s="1981"/>
      <c r="I110" s="1983"/>
      <c r="J110" s="1981"/>
      <c r="K110" s="2039"/>
      <c r="L110" s="1984"/>
      <c r="M110" s="1985"/>
      <c r="N110" s="1985"/>
      <c r="O110" s="1986"/>
      <c r="P110" s="1988"/>
      <c r="Q110" s="1988"/>
      <c r="R110" s="1988"/>
      <c r="S110" s="478"/>
      <c r="T110" s="479"/>
    </row>
    <row r="111" spans="1:25" s="460" customFormat="1" ht="58.9" hidden="1" customHeight="1">
      <c r="A111" s="1977"/>
      <c r="B111" s="1978" t="s">
        <v>3236</v>
      </c>
      <c r="C111" s="1979"/>
      <c r="D111" s="1980"/>
      <c r="E111" s="1981"/>
      <c r="F111" s="1968"/>
      <c r="G111" s="1982">
        <v>2</v>
      </c>
      <c r="H111" s="1981"/>
      <c r="I111" s="1983"/>
      <c r="J111" s="1981"/>
      <c r="K111" s="2039"/>
      <c r="L111" s="1984"/>
      <c r="M111" s="1985"/>
      <c r="N111" s="1985"/>
      <c r="O111" s="1986"/>
      <c r="P111" s="1988"/>
      <c r="Q111" s="1988"/>
      <c r="R111" s="1988"/>
      <c r="S111" s="478"/>
      <c r="T111" s="479"/>
    </row>
    <row r="112" spans="1:25" s="460" customFormat="1" ht="47.45" hidden="1" customHeight="1">
      <c r="A112" s="1977"/>
      <c r="B112" s="1978" t="s">
        <v>3237</v>
      </c>
      <c r="C112" s="1979"/>
      <c r="D112" s="1980"/>
      <c r="E112" s="1981"/>
      <c r="F112" s="1968"/>
      <c r="G112" s="1982">
        <v>0</v>
      </c>
      <c r="H112" s="1981"/>
      <c r="I112" s="1982">
        <v>2.37</v>
      </c>
      <c r="J112" s="1981"/>
      <c r="K112" s="2039"/>
      <c r="L112" s="1984"/>
      <c r="M112" s="1985"/>
      <c r="N112" s="1985"/>
      <c r="O112" s="1986"/>
      <c r="P112" s="1988"/>
      <c r="Q112" s="1988"/>
      <c r="R112" s="1988"/>
      <c r="S112" s="478"/>
      <c r="T112" s="479"/>
    </row>
    <row r="113" spans="1:20" s="460" customFormat="1" ht="38.450000000000003" hidden="1" customHeight="1">
      <c r="A113" s="1977"/>
      <c r="B113" s="1978" t="s">
        <v>3238</v>
      </c>
      <c r="C113" s="1979"/>
      <c r="D113" s="1980"/>
      <c r="E113" s="1981"/>
      <c r="F113" s="1968"/>
      <c r="G113" s="1982">
        <v>0</v>
      </c>
      <c r="H113" s="1981"/>
      <c r="I113" s="1982">
        <v>5</v>
      </c>
      <c r="J113" s="1981"/>
      <c r="K113" s="2039"/>
      <c r="L113" s="1984"/>
      <c r="M113" s="1985"/>
      <c r="N113" s="1985"/>
      <c r="O113" s="1986"/>
      <c r="P113" s="1988"/>
      <c r="Q113" s="1988"/>
      <c r="R113" s="1988"/>
      <c r="S113" s="478"/>
      <c r="T113" s="479"/>
    </row>
    <row r="114" spans="1:20" s="460" customFormat="1" ht="29.45" hidden="1" customHeight="1">
      <c r="A114" s="1977"/>
      <c r="B114" s="1978" t="s">
        <v>3239</v>
      </c>
      <c r="C114" s="1979"/>
      <c r="D114" s="1980"/>
      <c r="E114" s="1981"/>
      <c r="F114" s="1968"/>
      <c r="G114" s="1982">
        <v>0</v>
      </c>
      <c r="H114" s="1981"/>
      <c r="I114" s="1982">
        <v>5.6</v>
      </c>
      <c r="J114" s="1981"/>
      <c r="K114" s="2039"/>
      <c r="L114" s="1984"/>
      <c r="M114" s="1985"/>
      <c r="N114" s="1985"/>
      <c r="O114" s="1986"/>
      <c r="P114" s="1988"/>
      <c r="Q114" s="1988"/>
      <c r="R114" s="1988"/>
      <c r="S114" s="478"/>
      <c r="T114" s="479"/>
    </row>
    <row r="115" spans="1:20" s="460" customFormat="1" ht="34.9" hidden="1" customHeight="1">
      <c r="A115" s="1989"/>
      <c r="B115" s="1990" t="s">
        <v>3240</v>
      </c>
      <c r="C115" s="1991"/>
      <c r="D115" s="1992"/>
      <c r="E115" s="1993"/>
      <c r="F115" s="1968"/>
      <c r="G115" s="1982">
        <v>0</v>
      </c>
      <c r="H115" s="1993"/>
      <c r="I115" s="1982">
        <v>5</v>
      </c>
      <c r="J115" s="1981"/>
      <c r="K115" s="2039"/>
      <c r="L115" s="1984"/>
      <c r="M115" s="1985"/>
      <c r="N115" s="1985"/>
      <c r="O115" s="1986"/>
      <c r="P115" s="1988"/>
      <c r="Q115" s="1988"/>
      <c r="R115" s="1988"/>
      <c r="S115" s="478"/>
      <c r="T115" s="479"/>
    </row>
    <row r="116" spans="1:20" ht="50.45" customHeight="1">
      <c r="A116" s="2746" t="s">
        <v>3152</v>
      </c>
      <c r="B116" s="2355" t="s">
        <v>1292</v>
      </c>
      <c r="C116" s="2783" t="s">
        <v>1208</v>
      </c>
      <c r="D116" s="1360" t="s">
        <v>48</v>
      </c>
      <c r="E116" s="1100">
        <f>300-30</f>
        <v>270</v>
      </c>
      <c r="F116" s="1994">
        <f>H116/E116-1</f>
        <v>-1</v>
      </c>
      <c r="G116" s="1947">
        <v>382.428</v>
      </c>
      <c r="H116" s="1100">
        <v>0</v>
      </c>
      <c r="I116" s="1117">
        <v>533.6</v>
      </c>
      <c r="J116" s="1053">
        <v>312.05</v>
      </c>
      <c r="K116" s="2894" t="s">
        <v>2385</v>
      </c>
      <c r="L116" s="2395" t="s">
        <v>4247</v>
      </c>
      <c r="M116" s="2344" t="s">
        <v>3153</v>
      </c>
      <c r="N116" s="2344" t="s">
        <v>3154</v>
      </c>
      <c r="O116" s="2344" t="s">
        <v>434</v>
      </c>
      <c r="P116" s="2342" t="s">
        <v>434</v>
      </c>
      <c r="Q116" s="2342" t="s">
        <v>434</v>
      </c>
      <c r="R116" s="2343" t="s">
        <v>324</v>
      </c>
      <c r="S116" s="3383" t="s">
        <v>3155</v>
      </c>
      <c r="T116" s="3384"/>
    </row>
    <row r="117" spans="1:20" ht="50.45" customHeight="1">
      <c r="A117" s="2746"/>
      <c r="B117" s="2355"/>
      <c r="C117" s="2783"/>
      <c r="D117" s="1360" t="s">
        <v>2928</v>
      </c>
      <c r="E117" s="1100"/>
      <c r="F117" s="1994"/>
      <c r="G117" s="1947"/>
      <c r="H117" s="1100">
        <v>942.42</v>
      </c>
      <c r="I117" s="1117"/>
      <c r="J117" s="1053"/>
      <c r="K117" s="2907"/>
      <c r="L117" s="2395"/>
      <c r="M117" s="2344"/>
      <c r="N117" s="2344"/>
      <c r="O117" s="2344"/>
      <c r="P117" s="2342"/>
      <c r="Q117" s="2342"/>
      <c r="R117" s="2345"/>
      <c r="S117" s="3385"/>
      <c r="T117" s="3386"/>
    </row>
    <row r="118" spans="1:20" ht="49.5" customHeight="1">
      <c r="A118" s="2727"/>
      <c r="B118" s="2465"/>
      <c r="C118" s="2466"/>
      <c r="D118" s="1056" t="s">
        <v>1076</v>
      </c>
      <c r="E118" s="1059">
        <f t="shared" ref="E118" si="28">SUM(E116:E116)</f>
        <v>270</v>
      </c>
      <c r="F118" s="1897">
        <f t="shared" ref="F118:F170" si="29">H118/E118-1</f>
        <v>2.4904444444444445</v>
      </c>
      <c r="G118" s="1899"/>
      <c r="H118" s="1059">
        <f>SUM(H116,H117)</f>
        <v>942.42</v>
      </c>
      <c r="I118" s="1059">
        <f t="shared" ref="I118:J118" si="30">SUM(I116,I117)</f>
        <v>533.6</v>
      </c>
      <c r="J118" s="1059">
        <f t="shared" si="30"/>
        <v>312.05</v>
      </c>
      <c r="K118" s="2895"/>
      <c r="L118" s="2396"/>
      <c r="M118" s="2342"/>
      <c r="N118" s="2342"/>
      <c r="O118" s="2342"/>
      <c r="P118" s="2342"/>
      <c r="Q118" s="2342"/>
      <c r="R118" s="2344"/>
      <c r="S118" s="3387"/>
      <c r="T118" s="3388"/>
    </row>
    <row r="119" spans="1:20" ht="52.5" customHeight="1">
      <c r="A119" s="2727" t="s">
        <v>3156</v>
      </c>
      <c r="B119" s="2728" t="s">
        <v>3222</v>
      </c>
      <c r="C119" s="2722">
        <v>188711925</v>
      </c>
      <c r="D119" s="1945" t="s">
        <v>246</v>
      </c>
      <c r="E119" s="1053"/>
      <c r="F119" s="1889"/>
      <c r="G119" s="1789"/>
      <c r="H119" s="1053"/>
      <c r="I119" s="1090">
        <v>1072.5</v>
      </c>
      <c r="J119" s="1053">
        <v>495</v>
      </c>
      <c r="K119" s="2894" t="s">
        <v>3157</v>
      </c>
      <c r="L119" s="2349" t="s">
        <v>3932</v>
      </c>
      <c r="M119" s="2344" t="s">
        <v>3158</v>
      </c>
      <c r="N119" s="1995" t="s">
        <v>3223</v>
      </c>
      <c r="O119" s="1996">
        <v>0</v>
      </c>
      <c r="P119" s="1996">
        <v>0</v>
      </c>
      <c r="Q119" s="947" t="s">
        <v>434</v>
      </c>
      <c r="R119" s="1996">
        <v>0.9</v>
      </c>
      <c r="S119" s="3383" t="s">
        <v>3159</v>
      </c>
      <c r="T119" s="3384"/>
    </row>
    <row r="120" spans="1:20" ht="33" hidden="1" customHeight="1">
      <c r="A120" s="2727"/>
      <c r="B120" s="2728"/>
      <c r="C120" s="2722"/>
      <c r="D120" s="1946" t="s">
        <v>413</v>
      </c>
      <c r="E120" s="1053"/>
      <c r="F120" s="1889"/>
      <c r="G120" s="1789"/>
      <c r="H120" s="1053"/>
      <c r="I120" s="1090"/>
      <c r="J120" s="1053"/>
      <c r="K120" s="2907"/>
      <c r="L120" s="2363"/>
      <c r="M120" s="2344"/>
      <c r="N120" s="1996" t="s">
        <v>3224</v>
      </c>
      <c r="O120" s="1996">
        <v>0</v>
      </c>
      <c r="P120" s="1996"/>
      <c r="Q120" s="947"/>
      <c r="R120" s="1996">
        <v>1</v>
      </c>
      <c r="S120" s="3385"/>
      <c r="T120" s="3386"/>
    </row>
    <row r="121" spans="1:20" ht="34.5" customHeight="1">
      <c r="A121" s="2727"/>
      <c r="B121" s="2728"/>
      <c r="C121" s="2722"/>
      <c r="D121" s="1946" t="s">
        <v>471</v>
      </c>
      <c r="E121" s="1053"/>
      <c r="F121" s="1889"/>
      <c r="G121" s="1789">
        <v>97.058000000000007</v>
      </c>
      <c r="H121" s="1718">
        <v>0</v>
      </c>
      <c r="I121" s="1660"/>
      <c r="J121" s="1718"/>
      <c r="K121" s="2907"/>
      <c r="L121" s="2363"/>
      <c r="M121" s="2344"/>
      <c r="N121" s="3480" t="s">
        <v>3225</v>
      </c>
      <c r="O121" s="1996">
        <v>0</v>
      </c>
      <c r="P121" s="3483">
        <v>0</v>
      </c>
      <c r="Q121" s="2343" t="s">
        <v>434</v>
      </c>
      <c r="R121" s="3483">
        <v>9493</v>
      </c>
      <c r="S121" s="3385"/>
      <c r="T121" s="3386"/>
    </row>
    <row r="122" spans="1:20" ht="34.5" customHeight="1">
      <c r="A122" s="2727"/>
      <c r="B122" s="2728"/>
      <c r="C122" s="2722"/>
      <c r="D122" s="1946" t="s">
        <v>2928</v>
      </c>
      <c r="E122" s="1053"/>
      <c r="F122" s="1889"/>
      <c r="G122" s="1789"/>
      <c r="H122" s="1718">
        <v>97.058000000000007</v>
      </c>
      <c r="I122" s="1718"/>
      <c r="J122" s="1718"/>
      <c r="K122" s="2907"/>
      <c r="L122" s="2363"/>
      <c r="M122" s="2344"/>
      <c r="N122" s="3481"/>
      <c r="O122" s="1996"/>
      <c r="P122" s="3484"/>
      <c r="Q122" s="2345"/>
      <c r="R122" s="3484"/>
      <c r="S122" s="3385"/>
      <c r="T122" s="3386"/>
    </row>
    <row r="123" spans="1:20" ht="34.5" customHeight="1">
      <c r="A123" s="2727"/>
      <c r="B123" s="2728"/>
      <c r="C123" s="2722"/>
      <c r="D123" s="1946" t="s">
        <v>1394</v>
      </c>
      <c r="E123" s="1053"/>
      <c r="F123" s="1889"/>
      <c r="G123" s="1789"/>
      <c r="H123" s="1718"/>
      <c r="I123" s="1053">
        <v>92.206000000000003</v>
      </c>
      <c r="J123" s="1053">
        <v>87.352999999999994</v>
      </c>
      <c r="K123" s="2907"/>
      <c r="L123" s="2363"/>
      <c r="M123" s="2344"/>
      <c r="N123" s="3481"/>
      <c r="O123" s="1996"/>
      <c r="P123" s="3484"/>
      <c r="Q123" s="2345"/>
      <c r="R123" s="3484"/>
      <c r="S123" s="3385"/>
      <c r="T123" s="3386"/>
    </row>
    <row r="124" spans="1:20" ht="72.75" customHeight="1">
      <c r="A124" s="2727"/>
      <c r="B124" s="2728"/>
      <c r="C124" s="2722"/>
      <c r="D124" s="1903" t="s">
        <v>1076</v>
      </c>
      <c r="E124" s="1059">
        <f t="shared" ref="E124" si="31">SUM(E119:E121)</f>
        <v>0</v>
      </c>
      <c r="F124" s="1897">
        <v>0</v>
      </c>
      <c r="G124" s="1898">
        <f>SUM(G119,G121,G122)</f>
        <v>97.058000000000007</v>
      </c>
      <c r="H124" s="1898">
        <f t="shared" ref="H124" si="32">SUM(H119,H121,H122)</f>
        <v>97.058000000000007</v>
      </c>
      <c r="I124" s="1898">
        <f>SUM(I119,I121,I122:I123)</f>
        <v>1164.7059999999999</v>
      </c>
      <c r="J124" s="1898">
        <f>SUM(J119,J121,J122:J123)</f>
        <v>582.35299999999995</v>
      </c>
      <c r="K124" s="2895"/>
      <c r="L124" s="2401"/>
      <c r="M124" s="2342"/>
      <c r="N124" s="3482"/>
      <c r="O124" s="947"/>
      <c r="P124" s="3485"/>
      <c r="Q124" s="2344"/>
      <c r="R124" s="3485"/>
      <c r="S124" s="3387"/>
      <c r="T124" s="3388"/>
    </row>
    <row r="125" spans="1:20" ht="55.5" customHeight="1">
      <c r="A125" s="2727" t="s">
        <v>3161</v>
      </c>
      <c r="B125" s="2728" t="s">
        <v>3226</v>
      </c>
      <c r="C125" s="2722">
        <v>188711925</v>
      </c>
      <c r="D125" s="1945" t="s">
        <v>246</v>
      </c>
      <c r="E125" s="1053"/>
      <c r="F125" s="1889"/>
      <c r="G125" s="1789"/>
      <c r="H125" s="1053">
        <v>0</v>
      </c>
      <c r="I125" s="1053">
        <v>552.49900000000002</v>
      </c>
      <c r="J125" s="1053">
        <v>255</v>
      </c>
      <c r="K125" s="2894" t="s">
        <v>3157</v>
      </c>
      <c r="L125" s="2349" t="s">
        <v>3933</v>
      </c>
      <c r="M125" s="2344" t="s">
        <v>3163</v>
      </c>
      <c r="N125" s="1995" t="s">
        <v>3223</v>
      </c>
      <c r="O125" s="1996">
        <v>0</v>
      </c>
      <c r="P125" s="1996">
        <v>0</v>
      </c>
      <c r="Q125" s="947" t="s">
        <v>434</v>
      </c>
      <c r="R125" s="1996">
        <v>1.5</v>
      </c>
      <c r="S125" s="3383" t="s">
        <v>3159</v>
      </c>
      <c r="T125" s="3384"/>
    </row>
    <row r="126" spans="1:20" ht="34.15" hidden="1" customHeight="1">
      <c r="A126" s="2727"/>
      <c r="B126" s="2728"/>
      <c r="C126" s="2722"/>
      <c r="D126" s="1945" t="s">
        <v>413</v>
      </c>
      <c r="E126" s="1053"/>
      <c r="F126" s="1889"/>
      <c r="G126" s="1789"/>
      <c r="H126" s="1718"/>
      <c r="I126" s="1660"/>
      <c r="J126" s="1718"/>
      <c r="K126" s="2907"/>
      <c r="L126" s="2363"/>
      <c r="M126" s="2344"/>
      <c r="N126" s="1996" t="s">
        <v>3224</v>
      </c>
      <c r="O126" s="1996">
        <v>0</v>
      </c>
      <c r="P126" s="1996"/>
      <c r="Q126" s="947"/>
      <c r="R126" s="1996">
        <v>1</v>
      </c>
      <c r="S126" s="3385"/>
      <c r="T126" s="3386"/>
    </row>
    <row r="127" spans="1:20" ht="33" customHeight="1">
      <c r="A127" s="2727"/>
      <c r="B127" s="2728"/>
      <c r="C127" s="2722"/>
      <c r="D127" s="1945" t="s">
        <v>471</v>
      </c>
      <c r="E127" s="1053"/>
      <c r="F127" s="1889"/>
      <c r="G127" s="1789">
        <v>320</v>
      </c>
      <c r="H127" s="1718">
        <v>0</v>
      </c>
      <c r="I127" s="1660">
        <v>36.700000000000003</v>
      </c>
      <c r="J127" s="1718"/>
      <c r="K127" s="2907"/>
      <c r="L127" s="2363"/>
      <c r="M127" s="2344"/>
      <c r="N127" s="3480" t="s">
        <v>3225</v>
      </c>
      <c r="O127" s="1996">
        <v>0</v>
      </c>
      <c r="P127" s="3483">
        <v>0</v>
      </c>
      <c r="Q127" s="2343" t="s">
        <v>434</v>
      </c>
      <c r="R127" s="3483">
        <v>14509</v>
      </c>
      <c r="S127" s="3385"/>
      <c r="T127" s="3386"/>
    </row>
    <row r="128" spans="1:20" ht="39.75" customHeight="1">
      <c r="A128" s="2727"/>
      <c r="B128" s="2728"/>
      <c r="C128" s="2722"/>
      <c r="D128" s="1945" t="s">
        <v>2928</v>
      </c>
      <c r="E128" s="1053"/>
      <c r="F128" s="1889"/>
      <c r="G128" s="1789"/>
      <c r="H128" s="1718">
        <v>320</v>
      </c>
      <c r="I128" s="1718"/>
      <c r="J128" s="1718"/>
      <c r="K128" s="2907"/>
      <c r="L128" s="2363"/>
      <c r="M128" s="2344"/>
      <c r="N128" s="3481"/>
      <c r="O128" s="1996"/>
      <c r="P128" s="3484"/>
      <c r="Q128" s="2345"/>
      <c r="R128" s="3484"/>
      <c r="S128" s="3385"/>
      <c r="T128" s="3386"/>
    </row>
    <row r="129" spans="1:20" ht="39.75" customHeight="1">
      <c r="A129" s="2727"/>
      <c r="B129" s="2728"/>
      <c r="C129" s="2722"/>
      <c r="D129" s="1945" t="s">
        <v>1394</v>
      </c>
      <c r="E129" s="1053"/>
      <c r="F129" s="1889"/>
      <c r="G129" s="1789"/>
      <c r="H129" s="1718"/>
      <c r="I129" s="1053">
        <v>10.8</v>
      </c>
      <c r="J129" s="1053">
        <v>45</v>
      </c>
      <c r="K129" s="2907"/>
      <c r="L129" s="2363"/>
      <c r="M129" s="2344"/>
      <c r="N129" s="3481"/>
      <c r="O129" s="1996"/>
      <c r="P129" s="3484"/>
      <c r="Q129" s="2345"/>
      <c r="R129" s="3484"/>
      <c r="S129" s="3385"/>
      <c r="T129" s="3386"/>
    </row>
    <row r="130" spans="1:20" ht="54" customHeight="1">
      <c r="A130" s="2727"/>
      <c r="B130" s="2728"/>
      <c r="C130" s="2722"/>
      <c r="D130" s="1997" t="s">
        <v>1076</v>
      </c>
      <c r="E130" s="1059"/>
      <c r="F130" s="1897"/>
      <c r="G130" s="1899">
        <f>SUM(G125,G127,G128)</f>
        <v>320</v>
      </c>
      <c r="H130" s="1898">
        <f>SUM(H125,H127,H128)</f>
        <v>320</v>
      </c>
      <c r="I130" s="1898">
        <f>SUM(I125,I127,I128)</f>
        <v>589.19900000000007</v>
      </c>
      <c r="J130" s="1898">
        <f t="shared" ref="J130" si="33">SUM(J125,J127,J128)</f>
        <v>255</v>
      </c>
      <c r="K130" s="2895"/>
      <c r="L130" s="2401"/>
      <c r="M130" s="2342"/>
      <c r="N130" s="3482"/>
      <c r="O130" s="947"/>
      <c r="P130" s="3485"/>
      <c r="Q130" s="2344"/>
      <c r="R130" s="3485"/>
      <c r="S130" s="3387"/>
      <c r="T130" s="3388"/>
    </row>
    <row r="131" spans="1:20" s="460" customFormat="1" ht="21" hidden="1" customHeight="1">
      <c r="A131" s="3049" t="s">
        <v>3165</v>
      </c>
      <c r="B131" s="3420" t="s">
        <v>3058</v>
      </c>
      <c r="C131" s="3421">
        <v>188711925</v>
      </c>
      <c r="D131" s="1002" t="s">
        <v>246</v>
      </c>
      <c r="E131" s="1001"/>
      <c r="F131" s="1909" t="e">
        <f t="shared" si="29"/>
        <v>#DIV/0!</v>
      </c>
      <c r="G131" s="1915"/>
      <c r="H131" s="1001">
        <f>(2352.94118*85%)*50%</f>
        <v>1000.0000014999999</v>
      </c>
      <c r="I131" s="1625">
        <f>(2352.94118*85%)*50%</f>
        <v>1000.0000014999999</v>
      </c>
      <c r="J131" s="1001"/>
      <c r="K131" s="2034"/>
      <c r="L131" s="2699" t="s">
        <v>3162</v>
      </c>
      <c r="M131" s="2710" t="s">
        <v>3158</v>
      </c>
      <c r="N131" s="1998" t="s">
        <v>3164</v>
      </c>
      <c r="O131" s="1517"/>
      <c r="P131" s="1517"/>
      <c r="Q131" s="1999" t="s">
        <v>3166</v>
      </c>
      <c r="R131" s="2000"/>
      <c r="S131" s="242" t="s">
        <v>3160</v>
      </c>
      <c r="T131" s="464" t="s">
        <v>3159</v>
      </c>
    </row>
    <row r="132" spans="1:20" s="460" customFormat="1" ht="21" hidden="1" customHeight="1">
      <c r="A132" s="3049"/>
      <c r="B132" s="3420"/>
      <c r="C132" s="3421"/>
      <c r="D132" s="1002" t="s">
        <v>413</v>
      </c>
      <c r="E132" s="1002"/>
      <c r="F132" s="1909" t="e">
        <f t="shared" si="29"/>
        <v>#DIV/0!</v>
      </c>
      <c r="G132" s="2001"/>
      <c r="H132" s="1002"/>
      <c r="I132" s="1003"/>
      <c r="J132" s="1002"/>
      <c r="K132" s="2034"/>
      <c r="L132" s="2700"/>
      <c r="M132" s="2710"/>
      <c r="N132" s="1372" t="s">
        <v>3167</v>
      </c>
      <c r="O132" s="1442"/>
      <c r="P132" s="1442" t="s">
        <v>433</v>
      </c>
      <c r="Q132" s="2000" t="s">
        <v>433</v>
      </c>
      <c r="R132" s="2000"/>
      <c r="S132" s="465"/>
      <c r="T132" s="180"/>
    </row>
    <row r="133" spans="1:20" s="460" customFormat="1" ht="49.15" hidden="1" customHeight="1">
      <c r="A133" s="3049"/>
      <c r="B133" s="3420"/>
      <c r="C133" s="3421"/>
      <c r="D133" s="1002" t="s">
        <v>471</v>
      </c>
      <c r="E133" s="1001"/>
      <c r="F133" s="1909" t="e">
        <f t="shared" si="29"/>
        <v>#DIV/0!</v>
      </c>
      <c r="G133" s="1915"/>
      <c r="H133" s="1001">
        <f>(2352.94118*15%)*50%</f>
        <v>176.47058849999999</v>
      </c>
      <c r="I133" s="1625">
        <f>(2352.94118*15%)*50%</f>
        <v>176.47058849999999</v>
      </c>
      <c r="J133" s="1001"/>
      <c r="K133" s="2034"/>
      <c r="L133" s="2700"/>
      <c r="M133" s="2710"/>
      <c r="N133" s="1372" t="s">
        <v>3168</v>
      </c>
      <c r="O133" s="1442"/>
      <c r="P133" s="1442" t="s">
        <v>324</v>
      </c>
      <c r="Q133" s="2000" t="s">
        <v>324</v>
      </c>
      <c r="R133" s="2000"/>
      <c r="S133" s="465"/>
      <c r="T133" s="180"/>
    </row>
    <row r="134" spans="1:20" s="460" customFormat="1" ht="23.45" hidden="1" customHeight="1">
      <c r="A134" s="3049"/>
      <c r="B134" s="3420"/>
      <c r="C134" s="3422"/>
      <c r="D134" s="2002" t="s">
        <v>1076</v>
      </c>
      <c r="E134" s="1125">
        <f t="shared" ref="E134:I134" si="34">SUM(E131:E133)</f>
        <v>0</v>
      </c>
      <c r="F134" s="1909" t="e">
        <f t="shared" si="29"/>
        <v>#DIV/0!</v>
      </c>
      <c r="G134" s="1924"/>
      <c r="H134" s="1125">
        <f t="shared" si="34"/>
        <v>1176.4705899999999</v>
      </c>
      <c r="I134" s="2003">
        <f t="shared" si="34"/>
        <v>1176.4705899999999</v>
      </c>
      <c r="J134" s="1005"/>
      <c r="K134" s="1693"/>
      <c r="L134" s="3423"/>
      <c r="M134" s="3424"/>
      <c r="N134" s="1033"/>
      <c r="O134" s="1031"/>
      <c r="P134" s="1031"/>
      <c r="Q134" s="2004"/>
      <c r="R134" s="2004"/>
      <c r="S134" s="466"/>
      <c r="T134" s="180"/>
    </row>
    <row r="135" spans="1:20" ht="50.45" hidden="1" customHeight="1">
      <c r="A135" s="3272" t="s">
        <v>3169</v>
      </c>
      <c r="B135" s="3381" t="s">
        <v>1293</v>
      </c>
      <c r="C135" s="3339">
        <v>188711925</v>
      </c>
      <c r="D135" s="1907" t="s">
        <v>471</v>
      </c>
      <c r="E135" s="1913">
        <v>0</v>
      </c>
      <c r="F135" s="1909" t="e">
        <f t="shared" si="29"/>
        <v>#DIV/0!</v>
      </c>
      <c r="G135" s="1910"/>
      <c r="H135" s="1943">
        <v>0</v>
      </c>
      <c r="I135" s="1916">
        <v>0</v>
      </c>
      <c r="J135" s="1913"/>
      <c r="K135" s="3276" t="s">
        <v>3170</v>
      </c>
      <c r="L135" s="3342" t="s">
        <v>3171</v>
      </c>
      <c r="M135" s="3280" t="s">
        <v>3172</v>
      </c>
      <c r="N135" s="3368" t="s">
        <v>3173</v>
      </c>
      <c r="O135" s="3368" t="s">
        <v>434</v>
      </c>
      <c r="P135" s="3281" t="s">
        <v>433</v>
      </c>
      <c r="Q135" s="3281" t="s">
        <v>433</v>
      </c>
      <c r="R135" s="1681"/>
      <c r="S135" s="3426" t="s">
        <v>3174</v>
      </c>
      <c r="T135" s="3426"/>
    </row>
    <row r="136" spans="1:20" ht="40.5" hidden="1" customHeight="1">
      <c r="A136" s="3272"/>
      <c r="B136" s="3425"/>
      <c r="C136" s="3340"/>
      <c r="D136" s="1917" t="s">
        <v>1076</v>
      </c>
      <c r="E136" s="1918"/>
      <c r="F136" s="1909" t="e">
        <f t="shared" si="29"/>
        <v>#DIV/0!</v>
      </c>
      <c r="G136" s="1910"/>
      <c r="H136" s="2005"/>
      <c r="I136" s="1920"/>
      <c r="J136" s="1913"/>
      <c r="K136" s="3277"/>
      <c r="L136" s="3382"/>
      <c r="M136" s="3368"/>
      <c r="N136" s="3368"/>
      <c r="O136" s="3368"/>
      <c r="P136" s="3280"/>
      <c r="Q136" s="3280"/>
      <c r="R136" s="1681"/>
      <c r="S136" s="3426"/>
      <c r="T136" s="3426"/>
    </row>
    <row r="137" spans="1:20" ht="21" hidden="1" customHeight="1">
      <c r="A137" s="3272" t="s">
        <v>3175</v>
      </c>
      <c r="B137" s="3432" t="s">
        <v>1294</v>
      </c>
      <c r="C137" s="3434">
        <v>188711925</v>
      </c>
      <c r="D137" s="1907" t="s">
        <v>471</v>
      </c>
      <c r="E137" s="1913"/>
      <c r="F137" s="1909" t="e">
        <f t="shared" si="29"/>
        <v>#DIV/0!</v>
      </c>
      <c r="G137" s="1910"/>
      <c r="H137" s="1943"/>
      <c r="I137" s="1916"/>
      <c r="J137" s="1913"/>
      <c r="K137" s="3276"/>
      <c r="L137" s="3342" t="s">
        <v>2587</v>
      </c>
      <c r="M137" s="3280" t="s">
        <v>3176</v>
      </c>
      <c r="N137" s="3280"/>
      <c r="O137" s="3266"/>
      <c r="P137" s="3264"/>
      <c r="Q137" s="3264"/>
      <c r="R137" s="2006"/>
      <c r="S137" s="3427"/>
      <c r="T137" s="3428"/>
    </row>
    <row r="138" spans="1:20" ht="21" hidden="1" customHeight="1">
      <c r="A138" s="3272"/>
      <c r="B138" s="3432"/>
      <c r="C138" s="3434"/>
      <c r="D138" s="1907" t="s">
        <v>1122</v>
      </c>
      <c r="E138" s="1913"/>
      <c r="F138" s="1909" t="e">
        <f t="shared" si="29"/>
        <v>#DIV/0!</v>
      </c>
      <c r="G138" s="1910"/>
      <c r="H138" s="2007"/>
      <c r="I138" s="1916"/>
      <c r="J138" s="1913"/>
      <c r="K138" s="3341"/>
      <c r="L138" s="3436"/>
      <c r="M138" s="3280"/>
      <c r="N138" s="3280"/>
      <c r="O138" s="3266"/>
      <c r="P138" s="3265"/>
      <c r="Q138" s="3265"/>
      <c r="R138" s="2006"/>
      <c r="S138" s="3429"/>
      <c r="T138" s="3430"/>
    </row>
    <row r="139" spans="1:20" ht="15" hidden="1" customHeight="1">
      <c r="A139" s="3336"/>
      <c r="B139" s="3433"/>
      <c r="C139" s="3435"/>
      <c r="D139" s="1917" t="s">
        <v>1076</v>
      </c>
      <c r="E139" s="1918"/>
      <c r="F139" s="1909" t="e">
        <f t="shared" si="29"/>
        <v>#DIV/0!</v>
      </c>
      <c r="G139" s="1919"/>
      <c r="H139" s="1918"/>
      <c r="I139" s="1920"/>
      <c r="J139" s="1913"/>
      <c r="K139" s="3341"/>
      <c r="L139" s="3437"/>
      <c r="M139" s="3281"/>
      <c r="N139" s="3281"/>
      <c r="O139" s="3264"/>
      <c r="P139" s="3266"/>
      <c r="Q139" s="3266"/>
      <c r="R139" s="2006"/>
      <c r="S139" s="3429"/>
      <c r="T139" s="3430"/>
    </row>
    <row r="140" spans="1:20" ht="39" customHeight="1">
      <c r="A140" s="2739" t="s">
        <v>3177</v>
      </c>
      <c r="B140" s="2367" t="s">
        <v>1295</v>
      </c>
      <c r="C140" s="2706">
        <v>188711925</v>
      </c>
      <c r="D140" s="1035" t="s">
        <v>471</v>
      </c>
      <c r="E140" s="1053">
        <f>SUM(E142,E143,E144,E145,E147,E148,E149,E146)</f>
        <v>174</v>
      </c>
      <c r="F140" s="1889">
        <f t="shared" si="29"/>
        <v>-0.22988505747126442</v>
      </c>
      <c r="G140" s="1789">
        <f>SUM(G142,G143,G144,G145,G146,G147,G148,G149,G153,G154,)</f>
        <v>36</v>
      </c>
      <c r="H140" s="2009">
        <f>SUM(H142,H143,H144,H145,H146,H147,H148,H149,H153,H154,H152,H155)</f>
        <v>134</v>
      </c>
      <c r="I140" s="2009">
        <v>108</v>
      </c>
      <c r="J140" s="2009">
        <v>108</v>
      </c>
      <c r="K140" s="2883" t="s">
        <v>2492</v>
      </c>
      <c r="L140" s="2395" t="s">
        <v>3178</v>
      </c>
      <c r="M140" s="2342" t="s">
        <v>3179</v>
      </c>
      <c r="N140" s="2342" t="s">
        <v>3180</v>
      </c>
      <c r="O140" s="2342"/>
      <c r="P140" s="2343"/>
      <c r="Q140" s="2343"/>
      <c r="R140" s="947"/>
      <c r="S140" s="3431" t="s">
        <v>2493</v>
      </c>
      <c r="T140" s="3431"/>
    </row>
    <row r="141" spans="1:20" ht="40.5" customHeight="1">
      <c r="A141" s="2739"/>
      <c r="B141" s="2367"/>
      <c r="C141" s="2706"/>
      <c r="D141" s="1056" t="s">
        <v>1076</v>
      </c>
      <c r="E141" s="1059">
        <f t="shared" ref="E141:J141" si="35">E140</f>
        <v>174</v>
      </c>
      <c r="F141" s="1897">
        <f t="shared" si="29"/>
        <v>-0.22988505747126442</v>
      </c>
      <c r="G141" s="1899">
        <f t="shared" si="35"/>
        <v>36</v>
      </c>
      <c r="H141" s="1898">
        <f>H140</f>
        <v>134</v>
      </c>
      <c r="I141" s="1898">
        <f t="shared" si="35"/>
        <v>108</v>
      </c>
      <c r="J141" s="1898">
        <f t="shared" si="35"/>
        <v>108</v>
      </c>
      <c r="K141" s="2883"/>
      <c r="L141" s="2396"/>
      <c r="M141" s="2342"/>
      <c r="N141" s="2342"/>
      <c r="O141" s="2342"/>
      <c r="P141" s="2344"/>
      <c r="Q141" s="2344"/>
      <c r="R141" s="947"/>
      <c r="S141" s="3431"/>
      <c r="T141" s="3431"/>
    </row>
    <row r="142" spans="1:20" ht="28.5" hidden="1" customHeight="1">
      <c r="A142" s="3261"/>
      <c r="B142" s="975" t="s">
        <v>2721</v>
      </c>
      <c r="C142" s="1078"/>
      <c r="D142" s="3252" t="s">
        <v>471</v>
      </c>
      <c r="E142" s="989">
        <v>65</v>
      </c>
      <c r="F142" s="2010">
        <f t="shared" si="29"/>
        <v>0</v>
      </c>
      <c r="G142" s="989"/>
      <c r="H142" s="989">
        <v>65</v>
      </c>
      <c r="I142" s="989">
        <v>100</v>
      </c>
      <c r="J142" s="989">
        <v>100</v>
      </c>
      <c r="K142" s="591"/>
      <c r="L142" s="989"/>
      <c r="M142" s="992"/>
      <c r="N142" s="1011"/>
      <c r="O142" s="1011"/>
      <c r="P142" s="1011"/>
      <c r="Q142" s="1011"/>
      <c r="R142" s="1011"/>
      <c r="S142" s="3438"/>
      <c r="T142" s="3438"/>
    </row>
    <row r="143" spans="1:20" ht="30" hidden="1" customHeight="1">
      <c r="A143" s="3262"/>
      <c r="B143" s="975" t="s">
        <v>2722</v>
      </c>
      <c r="C143" s="1078"/>
      <c r="D143" s="3260"/>
      <c r="E143" s="989">
        <v>30</v>
      </c>
      <c r="F143" s="2010">
        <f t="shared" si="29"/>
        <v>-1</v>
      </c>
      <c r="G143" s="989"/>
      <c r="H143" s="989"/>
      <c r="I143" s="989"/>
      <c r="J143" s="989"/>
      <c r="K143" s="591"/>
      <c r="L143" s="989"/>
      <c r="M143" s="992"/>
      <c r="N143" s="1011"/>
      <c r="O143" s="1011"/>
      <c r="P143" s="1011"/>
      <c r="Q143" s="1011"/>
      <c r="R143" s="1011"/>
      <c r="S143" s="3438"/>
      <c r="T143" s="3438"/>
    </row>
    <row r="144" spans="1:20" ht="29.45" hidden="1" customHeight="1">
      <c r="A144" s="3262"/>
      <c r="B144" s="975" t="s">
        <v>2723</v>
      </c>
      <c r="C144" s="1078"/>
      <c r="D144" s="3260"/>
      <c r="E144" s="989">
        <v>20</v>
      </c>
      <c r="F144" s="2010">
        <f t="shared" si="29"/>
        <v>-1</v>
      </c>
      <c r="G144" s="989"/>
      <c r="H144" s="989"/>
      <c r="I144" s="989"/>
      <c r="J144" s="989"/>
      <c r="K144" s="591"/>
      <c r="L144" s="989"/>
      <c r="M144" s="992"/>
      <c r="N144" s="1011"/>
      <c r="O144" s="1011"/>
      <c r="P144" s="1011"/>
      <c r="Q144" s="1011"/>
      <c r="R144" s="1011"/>
      <c r="S144" s="3438"/>
      <c r="T144" s="3438"/>
    </row>
    <row r="145" spans="1:21" ht="44.25" hidden="1" customHeight="1">
      <c r="A145" s="3262"/>
      <c r="B145" s="975" t="s">
        <v>2724</v>
      </c>
      <c r="C145" s="1078"/>
      <c r="D145" s="3260"/>
      <c r="E145" s="989">
        <v>6</v>
      </c>
      <c r="F145" s="2010">
        <f t="shared" si="29"/>
        <v>-1</v>
      </c>
      <c r="G145" s="989">
        <v>6</v>
      </c>
      <c r="H145" s="989"/>
      <c r="I145" s="989"/>
      <c r="J145" s="989"/>
      <c r="K145" s="591"/>
      <c r="L145" s="1009" t="s">
        <v>3257</v>
      </c>
      <c r="M145" s="992"/>
      <c r="N145" s="1011"/>
      <c r="O145" s="1011"/>
      <c r="P145" s="1011"/>
      <c r="Q145" s="1011"/>
      <c r="R145" s="1011"/>
      <c r="S145" s="3438"/>
      <c r="T145" s="3438"/>
    </row>
    <row r="146" spans="1:21" ht="27" hidden="1" customHeight="1">
      <c r="A146" s="3262"/>
      <c r="B146" s="975" t="s">
        <v>2728</v>
      </c>
      <c r="C146" s="1078"/>
      <c r="D146" s="3260"/>
      <c r="E146" s="989">
        <v>5</v>
      </c>
      <c r="F146" s="2010">
        <f t="shared" si="29"/>
        <v>1.2000000000000002</v>
      </c>
      <c r="G146" s="989">
        <v>5</v>
      </c>
      <c r="H146" s="989">
        <v>11</v>
      </c>
      <c r="I146" s="989"/>
      <c r="J146" s="989"/>
      <c r="K146" s="591"/>
      <c r="L146" s="1009"/>
      <c r="M146" s="992"/>
      <c r="N146" s="1011"/>
      <c r="O146" s="1011"/>
      <c r="P146" s="1011"/>
      <c r="Q146" s="1011"/>
      <c r="R146" s="1011"/>
      <c r="S146" s="3438"/>
      <c r="T146" s="3438"/>
    </row>
    <row r="147" spans="1:21" ht="27.6" hidden="1" customHeight="1">
      <c r="A147" s="3262"/>
      <c r="B147" s="1879" t="s">
        <v>2725</v>
      </c>
      <c r="C147" s="1078"/>
      <c r="D147" s="3260"/>
      <c r="E147" s="989">
        <v>15</v>
      </c>
      <c r="F147" s="2010">
        <f t="shared" si="29"/>
        <v>-1</v>
      </c>
      <c r="G147" s="989"/>
      <c r="H147" s="989"/>
      <c r="I147" s="989"/>
      <c r="J147" s="989"/>
      <c r="K147" s="591"/>
      <c r="L147" s="1009"/>
      <c r="M147" s="992"/>
      <c r="N147" s="1011"/>
      <c r="O147" s="1011"/>
      <c r="P147" s="1011"/>
      <c r="Q147" s="1011"/>
      <c r="R147" s="1011"/>
      <c r="S147" s="3438"/>
      <c r="T147" s="3438"/>
    </row>
    <row r="148" spans="1:21" ht="28.15" hidden="1" customHeight="1">
      <c r="A148" s="3262"/>
      <c r="B148" s="975" t="s">
        <v>2726</v>
      </c>
      <c r="C148" s="1078"/>
      <c r="D148" s="3260"/>
      <c r="E148" s="989">
        <v>3</v>
      </c>
      <c r="F148" s="2010">
        <f t="shared" si="29"/>
        <v>-1</v>
      </c>
      <c r="G148" s="989"/>
      <c r="H148" s="989"/>
      <c r="I148" s="989"/>
      <c r="J148" s="989"/>
      <c r="K148" s="591"/>
      <c r="L148" s="1009"/>
      <c r="M148" s="992"/>
      <c r="N148" s="1011"/>
      <c r="O148" s="1011"/>
      <c r="P148" s="1011"/>
      <c r="Q148" s="1011"/>
      <c r="R148" s="1011"/>
      <c r="S148" s="3438"/>
      <c r="T148" s="3438"/>
    </row>
    <row r="149" spans="1:21" ht="25.9" hidden="1" customHeight="1">
      <c r="A149" s="3262"/>
      <c r="B149" s="1011" t="s">
        <v>2727</v>
      </c>
      <c r="C149" s="1364"/>
      <c r="D149" s="3260"/>
      <c r="E149" s="989">
        <v>30</v>
      </c>
      <c r="F149" s="2010">
        <f t="shared" si="29"/>
        <v>-1</v>
      </c>
      <c r="G149" s="989"/>
      <c r="H149" s="989"/>
      <c r="I149" s="989"/>
      <c r="J149" s="989"/>
      <c r="K149" s="852"/>
      <c r="L149" s="2011"/>
      <c r="M149" s="2012"/>
      <c r="N149" s="1010"/>
      <c r="O149" s="1010"/>
      <c r="P149" s="1011"/>
      <c r="Q149" s="1011"/>
      <c r="R149" s="1011"/>
      <c r="S149" s="3438"/>
      <c r="T149" s="3438"/>
    </row>
    <row r="150" spans="1:21" ht="81" hidden="1" customHeight="1">
      <c r="A150" s="3262"/>
      <c r="B150" s="3439" t="s">
        <v>1296</v>
      </c>
      <c r="C150" s="3440">
        <v>188711925</v>
      </c>
      <c r="D150" s="3260"/>
      <c r="E150" s="1075"/>
      <c r="F150" s="2010" t="e">
        <f t="shared" si="29"/>
        <v>#DIV/0!</v>
      </c>
      <c r="G150" s="989"/>
      <c r="H150" s="989"/>
      <c r="I150" s="989"/>
      <c r="J150" s="989"/>
      <c r="K150" s="3441" t="s">
        <v>3181</v>
      </c>
      <c r="L150" s="3020" t="s">
        <v>3182</v>
      </c>
      <c r="M150" s="2784" t="s">
        <v>3183</v>
      </c>
      <c r="N150" s="2784" t="s">
        <v>3184</v>
      </c>
      <c r="O150" s="2784" t="s">
        <v>433</v>
      </c>
      <c r="P150" s="2784" t="s">
        <v>433</v>
      </c>
      <c r="Q150" s="2784" t="s">
        <v>433</v>
      </c>
      <c r="R150" s="1011"/>
      <c r="S150" s="3442" t="s">
        <v>3185</v>
      </c>
      <c r="T150" s="3442"/>
    </row>
    <row r="151" spans="1:21" ht="95.25" hidden="1" customHeight="1">
      <c r="A151" s="3262"/>
      <c r="B151" s="3439"/>
      <c r="C151" s="3440"/>
      <c r="D151" s="3260"/>
      <c r="E151" s="1075">
        <f t="shared" ref="E151:I151" si="36">E150</f>
        <v>0</v>
      </c>
      <c r="F151" s="2010" t="e">
        <f t="shared" si="29"/>
        <v>#DIV/0!</v>
      </c>
      <c r="G151" s="989"/>
      <c r="H151" s="989">
        <f t="shared" si="36"/>
        <v>0</v>
      </c>
      <c r="I151" s="989">
        <f t="shared" si="36"/>
        <v>0</v>
      </c>
      <c r="J151" s="989"/>
      <c r="K151" s="3441"/>
      <c r="L151" s="3021"/>
      <c r="M151" s="2784"/>
      <c r="N151" s="2784"/>
      <c r="O151" s="2784"/>
      <c r="P151" s="2784"/>
      <c r="Q151" s="2784"/>
      <c r="R151" s="1011"/>
      <c r="S151" s="3442"/>
      <c r="T151" s="3442"/>
    </row>
    <row r="152" spans="1:21" ht="36" hidden="1" customHeight="1">
      <c r="A152" s="3262"/>
      <c r="B152" s="975" t="s">
        <v>3926</v>
      </c>
      <c r="C152" s="1078"/>
      <c r="D152" s="3260"/>
      <c r="E152" s="1075"/>
      <c r="F152" s="2010"/>
      <c r="G152" s="989"/>
      <c r="H152" s="989">
        <v>50</v>
      </c>
      <c r="I152" s="989"/>
      <c r="J152" s="989"/>
      <c r="K152" s="591"/>
      <c r="L152" s="989"/>
      <c r="M152" s="1011"/>
      <c r="N152" s="1011"/>
      <c r="O152" s="1011"/>
      <c r="P152" s="1011"/>
      <c r="Q152" s="1011"/>
      <c r="R152" s="1011"/>
      <c r="S152" s="502"/>
      <c r="T152" s="503"/>
    </row>
    <row r="153" spans="1:21" ht="42" hidden="1" customHeight="1">
      <c r="A153" s="3262"/>
      <c r="B153" s="975" t="s">
        <v>3254</v>
      </c>
      <c r="C153" s="1078"/>
      <c r="D153" s="3260"/>
      <c r="E153" s="989"/>
      <c r="F153" s="1394"/>
      <c r="G153" s="989">
        <v>25</v>
      </c>
      <c r="H153" s="989">
        <v>0</v>
      </c>
      <c r="I153" s="989">
        <v>0</v>
      </c>
      <c r="J153" s="989">
        <v>0</v>
      </c>
      <c r="K153" s="591"/>
      <c r="L153" s="3021" t="s">
        <v>3255</v>
      </c>
      <c r="M153" s="1011"/>
      <c r="N153" s="1011"/>
      <c r="O153" s="1011"/>
      <c r="P153" s="1011"/>
      <c r="Q153" s="1011"/>
      <c r="R153" s="1011"/>
      <c r="S153" s="502"/>
      <c r="T153" s="503"/>
    </row>
    <row r="154" spans="1:21" ht="41.25" hidden="1" customHeight="1">
      <c r="A154" s="3262"/>
      <c r="B154" s="975" t="s">
        <v>3256</v>
      </c>
      <c r="C154" s="1078"/>
      <c r="D154" s="3260"/>
      <c r="E154" s="989"/>
      <c r="F154" s="1394"/>
      <c r="G154" s="989"/>
      <c r="H154" s="989"/>
      <c r="I154" s="989">
        <v>20</v>
      </c>
      <c r="J154" s="989">
        <v>20</v>
      </c>
      <c r="K154" s="591"/>
      <c r="L154" s="3021"/>
      <c r="M154" s="1011"/>
      <c r="N154" s="1011"/>
      <c r="O154" s="1011"/>
      <c r="P154" s="1011"/>
      <c r="Q154" s="1011"/>
      <c r="R154" s="1011"/>
      <c r="S154" s="502"/>
      <c r="T154" s="503"/>
    </row>
    <row r="155" spans="1:21" ht="27.75" hidden="1" customHeight="1">
      <c r="A155" s="3263"/>
      <c r="B155" s="975" t="s">
        <v>3925</v>
      </c>
      <c r="C155" s="1078"/>
      <c r="D155" s="3253"/>
      <c r="E155" s="989"/>
      <c r="F155" s="1394"/>
      <c r="G155" s="989"/>
      <c r="H155" s="989">
        <v>8</v>
      </c>
      <c r="I155" s="989">
        <v>8</v>
      </c>
      <c r="J155" s="989">
        <v>8</v>
      </c>
      <c r="K155" s="591"/>
      <c r="L155" s="989"/>
      <c r="M155" s="1011"/>
      <c r="N155" s="1011"/>
      <c r="O155" s="1011"/>
      <c r="P155" s="1011"/>
      <c r="Q155" s="1011"/>
      <c r="R155" s="1011"/>
      <c r="S155" s="502"/>
      <c r="T155" s="503"/>
    </row>
    <row r="156" spans="1:21" s="468" customFormat="1" ht="44.45" customHeight="1">
      <c r="A156" s="2746" t="s">
        <v>3186</v>
      </c>
      <c r="B156" s="2795" t="s">
        <v>2816</v>
      </c>
      <c r="C156" s="2752" t="s">
        <v>1208</v>
      </c>
      <c r="D156" s="1659" t="s">
        <v>246</v>
      </c>
      <c r="E156" s="1100">
        <v>2.375</v>
      </c>
      <c r="F156" s="2013">
        <f t="shared" si="29"/>
        <v>64.947663157894738</v>
      </c>
      <c r="G156" s="1099">
        <v>156.62569999999999</v>
      </c>
      <c r="H156" s="1100">
        <v>156.62569999999999</v>
      </c>
      <c r="I156" s="1117">
        <v>25.155840000000001</v>
      </c>
      <c r="J156" s="1100"/>
      <c r="K156" s="2907" t="s">
        <v>3157</v>
      </c>
      <c r="L156" s="2363" t="s">
        <v>3955</v>
      </c>
      <c r="M156" s="2344" t="s">
        <v>3187</v>
      </c>
      <c r="N156" s="2344" t="s">
        <v>3188</v>
      </c>
      <c r="O156" s="2345" t="s">
        <v>434</v>
      </c>
      <c r="P156" s="2342" t="s">
        <v>3189</v>
      </c>
      <c r="Q156" s="2342" t="s">
        <v>434</v>
      </c>
      <c r="R156" s="2343"/>
      <c r="S156" s="3385" t="s">
        <v>3159</v>
      </c>
      <c r="T156" s="3386"/>
    </row>
    <row r="157" spans="1:21" s="468" customFormat="1" ht="44.45" customHeight="1">
      <c r="A157" s="2727"/>
      <c r="B157" s="2729"/>
      <c r="C157" s="2723"/>
      <c r="D157" s="1946" t="s">
        <v>413</v>
      </c>
      <c r="E157" s="1053"/>
      <c r="F157" s="1889" t="e">
        <f t="shared" si="29"/>
        <v>#DIV/0!</v>
      </c>
      <c r="G157" s="1789"/>
      <c r="H157" s="1053">
        <v>18.177</v>
      </c>
      <c r="I157" s="1150">
        <v>4.5460000000000003</v>
      </c>
      <c r="J157" s="1053"/>
      <c r="K157" s="2907"/>
      <c r="L157" s="2363"/>
      <c r="M157" s="2344"/>
      <c r="N157" s="3446"/>
      <c r="O157" s="2345"/>
      <c r="P157" s="2342"/>
      <c r="Q157" s="2342"/>
      <c r="R157" s="2345"/>
      <c r="S157" s="3385"/>
      <c r="T157" s="3386"/>
      <c r="U157" s="469" t="s">
        <v>2786</v>
      </c>
    </row>
    <row r="158" spans="1:21" s="468" customFormat="1" ht="43.9" customHeight="1">
      <c r="A158" s="2727"/>
      <c r="B158" s="2729"/>
      <c r="C158" s="2723"/>
      <c r="D158" s="1946" t="s">
        <v>2928</v>
      </c>
      <c r="E158" s="1053">
        <v>284.88600000000002</v>
      </c>
      <c r="F158" s="1889">
        <f t="shared" si="29"/>
        <v>-1</v>
      </c>
      <c r="G158" s="1789"/>
      <c r="H158" s="1053"/>
      <c r="I158" s="1090"/>
      <c r="J158" s="1053"/>
      <c r="K158" s="2907"/>
      <c r="L158" s="2363"/>
      <c r="M158" s="2344"/>
      <c r="N158" s="3446"/>
      <c r="O158" s="2345"/>
      <c r="P158" s="2342"/>
      <c r="Q158" s="2342"/>
      <c r="R158" s="2345"/>
      <c r="S158" s="3385"/>
      <c r="T158" s="3386"/>
    </row>
    <row r="159" spans="1:21" s="468" customFormat="1" ht="43.9" customHeight="1">
      <c r="A159" s="2727"/>
      <c r="B159" s="2729"/>
      <c r="C159" s="2723"/>
      <c r="D159" s="1946" t="s">
        <v>48</v>
      </c>
      <c r="E159" s="1053"/>
      <c r="F159" s="1889"/>
      <c r="G159" s="1789"/>
      <c r="H159" s="1053"/>
      <c r="I159" s="1053"/>
      <c r="J159" s="1053"/>
      <c r="K159" s="2907"/>
      <c r="L159" s="2363"/>
      <c r="M159" s="2344"/>
      <c r="N159" s="3446"/>
      <c r="O159" s="2345"/>
      <c r="P159" s="2342"/>
      <c r="Q159" s="2342"/>
      <c r="R159" s="2345"/>
      <c r="S159" s="3385"/>
      <c r="T159" s="3386"/>
    </row>
    <row r="160" spans="1:21" s="468" customFormat="1" ht="44.25" customHeight="1">
      <c r="A160" s="2727"/>
      <c r="B160" s="2729"/>
      <c r="C160" s="2723"/>
      <c r="D160" s="1087" t="s">
        <v>1076</v>
      </c>
      <c r="E160" s="1195">
        <f>SUM(E156:E158)</f>
        <v>287.26100000000002</v>
      </c>
      <c r="F160" s="2014">
        <f t="shared" si="29"/>
        <v>-0.39148474732038119</v>
      </c>
      <c r="G160" s="2015">
        <f>SUM(G156:G158)</f>
        <v>156.62569999999999</v>
      </c>
      <c r="H160" s="1195">
        <f>SUM(H156:H158)</f>
        <v>174.80269999999999</v>
      </c>
      <c r="I160" s="2016">
        <f t="shared" ref="I160" si="37">SUM(I156:I158)</f>
        <v>29.701840000000001</v>
      </c>
      <c r="J160" s="1413">
        <f>SUM(J156:J158)</f>
        <v>0</v>
      </c>
      <c r="K160" s="2895"/>
      <c r="L160" s="2401"/>
      <c r="M160" s="2342"/>
      <c r="N160" s="3447"/>
      <c r="O160" s="2344"/>
      <c r="P160" s="2342"/>
      <c r="Q160" s="2342"/>
      <c r="R160" s="2344"/>
      <c r="S160" s="3387"/>
      <c r="T160" s="3388"/>
    </row>
    <row r="161" spans="1:20" ht="65.45" customHeight="1">
      <c r="A161" s="1017" t="s">
        <v>3190</v>
      </c>
      <c r="B161" s="954" t="s">
        <v>2489</v>
      </c>
      <c r="C161" s="1017"/>
      <c r="D161" s="1017"/>
      <c r="E161" s="1095">
        <f>SUM(E164,E175,E177,E179)</f>
        <v>477.02</v>
      </c>
      <c r="F161" s="1885">
        <f t="shared" si="29"/>
        <v>7.3749528321663815E-2</v>
      </c>
      <c r="G161" s="1886">
        <f>SUM(G164,G175,G177,G179)</f>
        <v>553.60599999999999</v>
      </c>
      <c r="H161" s="1095">
        <f t="shared" ref="H161:I161" si="38">SUM(H164,H175,H177,H179)</f>
        <v>512.20000000000005</v>
      </c>
      <c r="I161" s="1927">
        <f t="shared" si="38"/>
        <v>489.93000000000006</v>
      </c>
      <c r="J161" s="1095">
        <f>SUM(J164,J175,J177,J179)</f>
        <v>513.79000000000008</v>
      </c>
      <c r="K161" s="577"/>
      <c r="L161" s="1017"/>
      <c r="M161" s="1017" t="s">
        <v>3191</v>
      </c>
      <c r="N161" s="954" t="s">
        <v>3138</v>
      </c>
      <c r="O161" s="1017">
        <v>72</v>
      </c>
      <c r="P161" s="1017">
        <v>55</v>
      </c>
      <c r="Q161" s="1017">
        <v>54</v>
      </c>
      <c r="R161" s="1017">
        <v>53</v>
      </c>
      <c r="S161" s="3443" t="s">
        <v>3138</v>
      </c>
      <c r="T161" s="3444"/>
    </row>
    <row r="162" spans="1:20" ht="40.15" customHeight="1">
      <c r="A162" s="2747" t="s">
        <v>3192</v>
      </c>
      <c r="B162" s="2756" t="s">
        <v>1297</v>
      </c>
      <c r="C162" s="2754">
        <v>188711925</v>
      </c>
      <c r="D162" s="1360" t="s">
        <v>471</v>
      </c>
      <c r="E162" s="1100">
        <f>33</f>
        <v>33</v>
      </c>
      <c r="F162" s="1889">
        <f t="shared" si="29"/>
        <v>0.69090909090909092</v>
      </c>
      <c r="G162" s="1894">
        <f>G165</f>
        <v>99.825999999999993</v>
      </c>
      <c r="H162" s="1100">
        <f>H165</f>
        <v>55.8</v>
      </c>
      <c r="I162" s="1100">
        <f>I166+I168</f>
        <v>58.72</v>
      </c>
      <c r="J162" s="1100">
        <f>J166+J168</f>
        <v>58.72</v>
      </c>
      <c r="K162" s="2894" t="s">
        <v>3193</v>
      </c>
      <c r="L162" s="2349" t="s">
        <v>3194</v>
      </c>
      <c r="M162" s="2343" t="s">
        <v>3195</v>
      </c>
      <c r="N162" s="2343" t="s">
        <v>3196</v>
      </c>
      <c r="O162" s="2343" t="s">
        <v>2427</v>
      </c>
      <c r="P162" s="2343" t="s">
        <v>2428</v>
      </c>
      <c r="Q162" s="2343" t="s">
        <v>2429</v>
      </c>
      <c r="R162" s="2343" t="s">
        <v>2429</v>
      </c>
      <c r="S162" s="3354" t="s">
        <v>3196</v>
      </c>
      <c r="T162" s="3355"/>
    </row>
    <row r="163" spans="1:20" ht="33.6" customHeight="1">
      <c r="A163" s="2745"/>
      <c r="B163" s="2757"/>
      <c r="C163" s="2755"/>
      <c r="D163" s="1360" t="s">
        <v>2928</v>
      </c>
      <c r="E163" s="1100">
        <v>9.1199999999999992</v>
      </c>
      <c r="F163" s="1889">
        <f t="shared" si="29"/>
        <v>0</v>
      </c>
      <c r="G163" s="1894">
        <f>G167</f>
        <v>9.1199999999999992</v>
      </c>
      <c r="H163" s="1100">
        <f>H167</f>
        <v>9.1199999999999992</v>
      </c>
      <c r="I163" s="1100"/>
      <c r="J163" s="1100"/>
      <c r="K163" s="2907"/>
      <c r="L163" s="2363"/>
      <c r="M163" s="2345"/>
      <c r="N163" s="2345"/>
      <c r="O163" s="2345"/>
      <c r="P163" s="2345"/>
      <c r="Q163" s="2345"/>
      <c r="R163" s="2345"/>
      <c r="S163" s="3356"/>
      <c r="T163" s="3357"/>
    </row>
    <row r="164" spans="1:20" ht="74.25" customHeight="1">
      <c r="A164" s="2746"/>
      <c r="B164" s="3445"/>
      <c r="C164" s="2783"/>
      <c r="D164" s="1056" t="s">
        <v>1076</v>
      </c>
      <c r="E164" s="1059">
        <f>E162+E163</f>
        <v>42.12</v>
      </c>
      <c r="F164" s="1897">
        <f t="shared" si="29"/>
        <v>0.54131054131054146</v>
      </c>
      <c r="G164" s="1899">
        <f>G162+G163</f>
        <v>108.946</v>
      </c>
      <c r="H164" s="1059">
        <f>H162+H163</f>
        <v>64.92</v>
      </c>
      <c r="I164" s="1059">
        <f t="shared" ref="I164:J164" si="39">I162+I163</f>
        <v>58.72</v>
      </c>
      <c r="J164" s="1059">
        <f t="shared" si="39"/>
        <v>58.72</v>
      </c>
      <c r="K164" s="2895"/>
      <c r="L164" s="2350"/>
      <c r="M164" s="2344"/>
      <c r="N164" s="2344"/>
      <c r="O164" s="2344"/>
      <c r="P164" s="2344"/>
      <c r="Q164" s="2344"/>
      <c r="R164" s="2344"/>
      <c r="S164" s="3358"/>
      <c r="T164" s="3359"/>
    </row>
    <row r="165" spans="1:20" s="460" customFormat="1" ht="38.450000000000003" hidden="1" customHeight="1">
      <c r="A165" s="2787" t="s">
        <v>3197</v>
      </c>
      <c r="B165" s="2744" t="s">
        <v>2409</v>
      </c>
      <c r="C165" s="2785">
        <v>188711925</v>
      </c>
      <c r="D165" s="1400" t="s">
        <v>471</v>
      </c>
      <c r="E165" s="985">
        <v>33</v>
      </c>
      <c r="F165" s="1490">
        <f t="shared" si="29"/>
        <v>0.69090909090909092</v>
      </c>
      <c r="G165" s="2017">
        <v>99.825999999999993</v>
      </c>
      <c r="H165" s="985">
        <v>55.8</v>
      </c>
      <c r="I165" s="1122">
        <v>49.6</v>
      </c>
      <c r="J165" s="989">
        <v>49.6</v>
      </c>
      <c r="K165" s="486"/>
      <c r="L165" s="2701"/>
      <c r="M165" s="2915"/>
      <c r="N165" s="3452"/>
      <c r="O165" s="3452"/>
      <c r="P165" s="3454"/>
      <c r="Q165" s="3454"/>
      <c r="R165" s="1384"/>
      <c r="S165" s="213"/>
      <c r="T165" s="3448"/>
    </row>
    <row r="166" spans="1:20" s="460" customFormat="1" ht="36" hidden="1" customHeight="1">
      <c r="A166" s="2788"/>
      <c r="B166" s="2784"/>
      <c r="C166" s="2786"/>
      <c r="D166" s="1022" t="s">
        <v>1076</v>
      </c>
      <c r="E166" s="1075">
        <f t="shared" ref="E166:J166" si="40">SUM(E165:E165)</f>
        <v>33</v>
      </c>
      <c r="F166" s="1490">
        <f t="shared" si="29"/>
        <v>0.69090909090909092</v>
      </c>
      <c r="G166" s="1524">
        <f t="shared" si="40"/>
        <v>99.825999999999993</v>
      </c>
      <c r="H166" s="1075">
        <f t="shared" si="40"/>
        <v>55.8</v>
      </c>
      <c r="I166" s="1075">
        <f t="shared" si="40"/>
        <v>49.6</v>
      </c>
      <c r="J166" s="1075">
        <f t="shared" si="40"/>
        <v>49.6</v>
      </c>
      <c r="K166" s="2040"/>
      <c r="L166" s="3450"/>
      <c r="M166" s="3451"/>
      <c r="N166" s="3453"/>
      <c r="O166" s="3453"/>
      <c r="P166" s="3452"/>
      <c r="Q166" s="3452"/>
      <c r="R166" s="1032"/>
      <c r="S166" s="210"/>
      <c r="T166" s="3449"/>
    </row>
    <row r="167" spans="1:20" s="460" customFormat="1" ht="31.15" hidden="1" customHeight="1">
      <c r="A167" s="2787" t="s">
        <v>3198</v>
      </c>
      <c r="B167" s="2744" t="s">
        <v>1605</v>
      </c>
      <c r="C167" s="2785">
        <v>188711925</v>
      </c>
      <c r="D167" s="1400" t="s">
        <v>2928</v>
      </c>
      <c r="E167" s="985">
        <v>9.1199999999999992</v>
      </c>
      <c r="F167" s="1490">
        <f t="shared" si="29"/>
        <v>0</v>
      </c>
      <c r="G167" s="2017">
        <v>9.1199999999999992</v>
      </c>
      <c r="H167" s="985">
        <v>9.1199999999999992</v>
      </c>
      <c r="I167" s="985"/>
      <c r="J167" s="985"/>
      <c r="K167" s="486"/>
      <c r="L167" s="2701"/>
      <c r="M167" s="2915"/>
      <c r="N167" s="3452"/>
      <c r="O167" s="3452"/>
      <c r="P167" s="3454"/>
      <c r="Q167" s="3454"/>
      <c r="R167" s="1384"/>
      <c r="S167" s="213"/>
      <c r="T167" s="3448"/>
    </row>
    <row r="168" spans="1:20" s="460" customFormat="1" ht="31.15" hidden="1" customHeight="1">
      <c r="A168" s="2787"/>
      <c r="B168" s="2744"/>
      <c r="C168" s="2785"/>
      <c r="D168" s="1400" t="s">
        <v>471</v>
      </c>
      <c r="E168" s="985"/>
      <c r="F168" s="1490"/>
      <c r="G168" s="2017"/>
      <c r="H168" s="985"/>
      <c r="I168" s="985">
        <v>9.1199999999999992</v>
      </c>
      <c r="J168" s="985">
        <v>9.1199999999999992</v>
      </c>
      <c r="K168" s="486"/>
      <c r="L168" s="2701"/>
      <c r="M168" s="2915"/>
      <c r="N168" s="3452"/>
      <c r="O168" s="3452"/>
      <c r="P168" s="3455"/>
      <c r="Q168" s="3455"/>
      <c r="R168" s="1384"/>
      <c r="S168" s="213"/>
      <c r="T168" s="3448"/>
    </row>
    <row r="169" spans="1:20" s="460" customFormat="1" ht="39" hidden="1" customHeight="1">
      <c r="A169" s="2788"/>
      <c r="B169" s="2784"/>
      <c r="C169" s="2786"/>
      <c r="D169" s="1022" t="s">
        <v>1076</v>
      </c>
      <c r="E169" s="1075">
        <f t="shared" ref="E169:G169" si="41">SUM(E167:E167)</f>
        <v>9.1199999999999992</v>
      </c>
      <c r="F169" s="1490">
        <f t="shared" si="29"/>
        <v>-1</v>
      </c>
      <c r="G169" s="1524">
        <f t="shared" si="41"/>
        <v>9.1199999999999992</v>
      </c>
      <c r="H169" s="1075"/>
      <c r="I169" s="1075"/>
      <c r="J169" s="1075"/>
      <c r="K169" s="2040"/>
      <c r="L169" s="3450"/>
      <c r="M169" s="3451"/>
      <c r="N169" s="3453"/>
      <c r="O169" s="3453"/>
      <c r="P169" s="3452"/>
      <c r="Q169" s="3452"/>
      <c r="R169" s="1032"/>
      <c r="S169" s="210"/>
      <c r="T169" s="3449"/>
    </row>
    <row r="170" spans="1:20" s="460" customFormat="1" ht="61.9" hidden="1" customHeight="1">
      <c r="A170" s="3048" t="s">
        <v>3199</v>
      </c>
      <c r="B170" s="3452" t="s">
        <v>1280</v>
      </c>
      <c r="C170" s="3456">
        <v>188711925</v>
      </c>
      <c r="D170" s="1375" t="s">
        <v>471</v>
      </c>
      <c r="E170" s="1428">
        <v>0</v>
      </c>
      <c r="F170" s="1909" t="e">
        <f t="shared" si="29"/>
        <v>#DIV/0!</v>
      </c>
      <c r="G170" s="1924"/>
      <c r="H170" s="1428">
        <v>0</v>
      </c>
      <c r="I170" s="2019">
        <v>0</v>
      </c>
      <c r="J170" s="1001"/>
      <c r="K170" s="471"/>
      <c r="L170" s="2701" t="s">
        <v>3200</v>
      </c>
      <c r="M170" s="3452" t="s">
        <v>1094</v>
      </c>
      <c r="N170" s="3452"/>
      <c r="O170" s="3452"/>
      <c r="P170" s="3454"/>
      <c r="Q170" s="3454"/>
      <c r="R170" s="1384"/>
      <c r="S170" s="213"/>
      <c r="T170" s="3448"/>
    </row>
    <row r="171" spans="1:20" s="460" customFormat="1" ht="61.9" hidden="1" customHeight="1">
      <c r="A171" s="3049"/>
      <c r="B171" s="3453"/>
      <c r="C171" s="3457"/>
      <c r="D171" s="1189" t="s">
        <v>1076</v>
      </c>
      <c r="E171" s="1005">
        <f t="shared" ref="E171:I171" si="42">SUM(E170:E170)</f>
        <v>0</v>
      </c>
      <c r="F171" s="1909" t="e">
        <f t="shared" ref="F171:F201" si="43">H171/E171-1</f>
        <v>#DIV/0!</v>
      </c>
      <c r="G171" s="1915"/>
      <c r="H171" s="1005">
        <f t="shared" si="42"/>
        <v>0</v>
      </c>
      <c r="I171" s="1474">
        <f t="shared" si="42"/>
        <v>0</v>
      </c>
      <c r="J171" s="1005"/>
      <c r="K171" s="2034"/>
      <c r="L171" s="3450"/>
      <c r="M171" s="3453"/>
      <c r="N171" s="3453"/>
      <c r="O171" s="3453"/>
      <c r="P171" s="3452"/>
      <c r="Q171" s="3452"/>
      <c r="R171" s="1032"/>
      <c r="S171" s="210"/>
      <c r="T171" s="3449"/>
    </row>
    <row r="172" spans="1:20" ht="30" customHeight="1">
      <c r="A172" s="2746" t="s">
        <v>3201</v>
      </c>
      <c r="B172" s="2355" t="s">
        <v>1298</v>
      </c>
      <c r="C172" s="2783" t="s">
        <v>3202</v>
      </c>
      <c r="D172" s="1360" t="s">
        <v>471</v>
      </c>
      <c r="E172" s="1100">
        <f>213.8-0.6</f>
        <v>213.20000000000002</v>
      </c>
      <c r="F172" s="1994">
        <f t="shared" si="43"/>
        <v>0.17251407129455898</v>
      </c>
      <c r="G172" s="1894">
        <v>247.36</v>
      </c>
      <c r="H172" s="1100">
        <v>249.98</v>
      </c>
      <c r="I172" s="1117">
        <v>252.71</v>
      </c>
      <c r="J172" s="1053">
        <v>263.47000000000003</v>
      </c>
      <c r="K172" s="2894" t="s">
        <v>1064</v>
      </c>
      <c r="L172" s="2395" t="s">
        <v>3203</v>
      </c>
      <c r="M172" s="2344" t="s">
        <v>3204</v>
      </c>
      <c r="N172" s="2344" t="s">
        <v>3205</v>
      </c>
      <c r="O172" s="2344" t="s">
        <v>324</v>
      </c>
      <c r="P172" s="2343" t="s">
        <v>324</v>
      </c>
      <c r="Q172" s="2343" t="s">
        <v>434</v>
      </c>
      <c r="R172" s="2343" t="s">
        <v>434</v>
      </c>
      <c r="S172" s="3458" t="s">
        <v>855</v>
      </c>
      <c r="T172" s="3459"/>
    </row>
    <row r="173" spans="1:20" ht="24" customHeight="1">
      <c r="A173" s="2746"/>
      <c r="B173" s="2355"/>
      <c r="C173" s="2783"/>
      <c r="D173" s="1360" t="s">
        <v>1389</v>
      </c>
      <c r="E173" s="1100">
        <v>131.69999999999999</v>
      </c>
      <c r="F173" s="1994">
        <f t="shared" si="43"/>
        <v>0.10326499620349305</v>
      </c>
      <c r="G173" s="1894">
        <v>145.30000000000001</v>
      </c>
      <c r="H173" s="1100">
        <v>145.30000000000001</v>
      </c>
      <c r="I173" s="1117">
        <v>156.5</v>
      </c>
      <c r="J173" s="1053">
        <v>168.6</v>
      </c>
      <c r="K173" s="2907"/>
      <c r="L173" s="2395"/>
      <c r="M173" s="2344"/>
      <c r="N173" s="2344"/>
      <c r="O173" s="2344"/>
      <c r="P173" s="2345"/>
      <c r="Q173" s="2345"/>
      <c r="R173" s="2345"/>
      <c r="S173" s="3460"/>
      <c r="T173" s="3461"/>
    </row>
    <row r="174" spans="1:20" ht="25.15" customHeight="1">
      <c r="A174" s="2746"/>
      <c r="B174" s="2355"/>
      <c r="C174" s="2783"/>
      <c r="D174" s="1360" t="s">
        <v>1122</v>
      </c>
      <c r="E174" s="1100"/>
      <c r="F174" s="1994"/>
      <c r="G174" s="1894"/>
      <c r="H174" s="1100"/>
      <c r="I174" s="1117"/>
      <c r="J174" s="1053"/>
      <c r="K174" s="2907"/>
      <c r="L174" s="2395"/>
      <c r="M174" s="2344"/>
      <c r="N174" s="2344"/>
      <c r="O174" s="2344"/>
      <c r="P174" s="2345"/>
      <c r="Q174" s="2345"/>
      <c r="R174" s="2345"/>
      <c r="S174" s="3460"/>
      <c r="T174" s="3461"/>
    </row>
    <row r="175" spans="1:20" ht="33" customHeight="1">
      <c r="A175" s="2727"/>
      <c r="B175" s="2465"/>
      <c r="C175" s="2466"/>
      <c r="D175" s="1056" t="s">
        <v>1076</v>
      </c>
      <c r="E175" s="1059">
        <f>SUM(E172:E174)</f>
        <v>344.9</v>
      </c>
      <c r="F175" s="2021">
        <f t="shared" si="43"/>
        <v>0.14607132502174536</v>
      </c>
      <c r="G175" s="1899">
        <f t="shared" ref="G175:J175" si="44">SUM(G172:G174)</f>
        <v>392.66</v>
      </c>
      <c r="H175" s="1059">
        <f t="shared" si="44"/>
        <v>395.28</v>
      </c>
      <c r="I175" s="1059">
        <f>SUM(I172:I174)</f>
        <v>409.21000000000004</v>
      </c>
      <c r="J175" s="1059">
        <f t="shared" si="44"/>
        <v>432.07000000000005</v>
      </c>
      <c r="K175" s="2907"/>
      <c r="L175" s="2396"/>
      <c r="M175" s="2342"/>
      <c r="N175" s="2342"/>
      <c r="O175" s="2342"/>
      <c r="P175" s="2344"/>
      <c r="Q175" s="2344"/>
      <c r="R175" s="2345"/>
      <c r="S175" s="3460"/>
      <c r="T175" s="3461"/>
    </row>
    <row r="176" spans="1:20" s="460" customFormat="1" ht="31.9" hidden="1" customHeight="1">
      <c r="A176" s="3272" t="s">
        <v>3206</v>
      </c>
      <c r="B176" s="3381" t="s">
        <v>1299</v>
      </c>
      <c r="C176" s="3339">
        <v>188711925</v>
      </c>
      <c r="D176" s="1907" t="s">
        <v>471</v>
      </c>
      <c r="E176" s="1913"/>
      <c r="F176" s="1909" t="e">
        <f t="shared" si="43"/>
        <v>#DIV/0!</v>
      </c>
      <c r="G176" s="1910"/>
      <c r="H176" s="1943"/>
      <c r="I176" s="1916"/>
      <c r="J176" s="1913"/>
      <c r="K176" s="2907"/>
      <c r="L176" s="3342" t="s">
        <v>2587</v>
      </c>
      <c r="M176" s="3280" t="s">
        <v>3207</v>
      </c>
      <c r="N176" s="3280" t="s">
        <v>58</v>
      </c>
      <c r="O176" s="3280" t="s">
        <v>1463</v>
      </c>
      <c r="P176" s="3281" t="s">
        <v>434</v>
      </c>
      <c r="Q176" s="3281" t="s">
        <v>434</v>
      </c>
      <c r="R176" s="2022"/>
      <c r="S176" s="3460"/>
      <c r="T176" s="3461"/>
    </row>
    <row r="177" spans="1:20" s="460" customFormat="1" ht="35.450000000000003" hidden="1" customHeight="1">
      <c r="A177" s="3272"/>
      <c r="B177" s="3381"/>
      <c r="C177" s="3339"/>
      <c r="D177" s="1944" t="s">
        <v>1076</v>
      </c>
      <c r="E177" s="1913">
        <f t="shared" ref="E177:I177" si="45">E176</f>
        <v>0</v>
      </c>
      <c r="F177" s="1909" t="e">
        <f t="shared" si="43"/>
        <v>#DIV/0!</v>
      </c>
      <c r="G177" s="1915"/>
      <c r="H177" s="1913">
        <f t="shared" si="45"/>
        <v>0</v>
      </c>
      <c r="I177" s="1916">
        <f t="shared" si="45"/>
        <v>0</v>
      </c>
      <c r="J177" s="1913"/>
      <c r="K177" s="2907"/>
      <c r="L177" s="3382"/>
      <c r="M177" s="3368"/>
      <c r="N177" s="3368"/>
      <c r="O177" s="3368"/>
      <c r="P177" s="3464"/>
      <c r="Q177" s="3464"/>
      <c r="R177" s="2022"/>
      <c r="S177" s="3460"/>
      <c r="T177" s="3461"/>
    </row>
    <row r="178" spans="1:20" ht="39" customHeight="1">
      <c r="A178" s="2727" t="s">
        <v>3208</v>
      </c>
      <c r="B178" s="2728" t="s">
        <v>1300</v>
      </c>
      <c r="C178" s="2722">
        <v>188711925</v>
      </c>
      <c r="D178" s="1082" t="s">
        <v>471</v>
      </c>
      <c r="E178" s="1053">
        <f t="shared" ref="E178" si="46">SUM(E180,E181)</f>
        <v>90</v>
      </c>
      <c r="F178" s="1994">
        <f t="shared" si="43"/>
        <v>-0.42222222222222228</v>
      </c>
      <c r="G178" s="2009">
        <f>G182+G183</f>
        <v>52</v>
      </c>
      <c r="H178" s="1053">
        <f>H182+H183</f>
        <v>52</v>
      </c>
      <c r="I178" s="1053">
        <v>22</v>
      </c>
      <c r="J178" s="1053">
        <f t="shared" ref="J178" si="47">J182+J183</f>
        <v>23</v>
      </c>
      <c r="K178" s="2907"/>
      <c r="L178" s="2349" t="s">
        <v>3209</v>
      </c>
      <c r="M178" s="2344" t="s">
        <v>3210</v>
      </c>
      <c r="N178" s="2344" t="s">
        <v>3211</v>
      </c>
      <c r="O178" s="2343" t="s">
        <v>433</v>
      </c>
      <c r="P178" s="2342" t="s">
        <v>433</v>
      </c>
      <c r="Q178" s="2342" t="s">
        <v>433</v>
      </c>
      <c r="R178" s="2343" t="s">
        <v>433</v>
      </c>
      <c r="S178" s="3460"/>
      <c r="T178" s="3461"/>
    </row>
    <row r="179" spans="1:20" ht="42" customHeight="1">
      <c r="A179" s="2807"/>
      <c r="B179" s="2729"/>
      <c r="C179" s="2723"/>
      <c r="D179" s="1087" t="s">
        <v>1076</v>
      </c>
      <c r="E179" s="1089">
        <f t="shared" ref="E179:J179" si="48">E178</f>
        <v>90</v>
      </c>
      <c r="F179" s="2021">
        <f t="shared" si="43"/>
        <v>-0.42222222222222228</v>
      </c>
      <c r="G179" s="1930">
        <f>G178</f>
        <v>52</v>
      </c>
      <c r="H179" s="1089">
        <f t="shared" si="48"/>
        <v>52</v>
      </c>
      <c r="I179" s="1575">
        <f t="shared" si="48"/>
        <v>22</v>
      </c>
      <c r="J179" s="1059">
        <f t="shared" si="48"/>
        <v>23</v>
      </c>
      <c r="K179" s="2895"/>
      <c r="L179" s="2880"/>
      <c r="M179" s="2343"/>
      <c r="N179" s="2343"/>
      <c r="O179" s="2345"/>
      <c r="P179" s="2342"/>
      <c r="Q179" s="2342"/>
      <c r="R179" s="2344"/>
      <c r="S179" s="3462"/>
      <c r="T179" s="3463"/>
    </row>
    <row r="180" spans="1:20" ht="51" hidden="1" customHeight="1">
      <c r="A180" s="2024" t="s">
        <v>3249</v>
      </c>
      <c r="B180" s="2025" t="s">
        <v>2490</v>
      </c>
      <c r="C180" s="1845"/>
      <c r="D180" s="1649"/>
      <c r="E180" s="1647">
        <v>50</v>
      </c>
      <c r="F180" s="2026"/>
      <c r="G180" s="1645"/>
      <c r="H180" s="1645"/>
      <c r="I180" s="1848"/>
      <c r="J180" s="1645"/>
      <c r="K180" s="2041"/>
      <c r="L180" s="1647"/>
      <c r="M180" s="2027"/>
      <c r="N180" s="2028"/>
      <c r="O180" s="2029"/>
      <c r="P180" s="2029"/>
      <c r="Q180" s="2029"/>
      <c r="R180" s="2029"/>
      <c r="S180" s="462"/>
      <c r="T180" s="462"/>
    </row>
    <row r="181" spans="1:20" ht="55.15" hidden="1" customHeight="1">
      <c r="A181" s="2024" t="s">
        <v>3249</v>
      </c>
      <c r="B181" s="2025" t="s">
        <v>2491</v>
      </c>
      <c r="C181" s="1845"/>
      <c r="D181" s="1649"/>
      <c r="E181" s="1647">
        <v>40</v>
      </c>
      <c r="F181" s="2026"/>
      <c r="G181" s="1645"/>
      <c r="H181" s="1645"/>
      <c r="I181" s="1848"/>
      <c r="J181" s="1645"/>
      <c r="K181" s="2041"/>
      <c r="L181" s="1647"/>
      <c r="M181" s="2027"/>
      <c r="N181" s="2028"/>
      <c r="O181" s="2029"/>
      <c r="P181" s="2029"/>
      <c r="Q181" s="2029"/>
      <c r="R181" s="2029"/>
      <c r="S181" s="462"/>
      <c r="T181" s="462"/>
    </row>
    <row r="182" spans="1:20" ht="66.75" hidden="1" customHeight="1">
      <c r="A182" s="1364"/>
      <c r="B182" s="975" t="s">
        <v>3251</v>
      </c>
      <c r="C182" s="1078"/>
      <c r="D182" s="990"/>
      <c r="E182" s="989"/>
      <c r="F182" s="1183"/>
      <c r="G182" s="2030">
        <v>52</v>
      </c>
      <c r="H182" s="989">
        <v>52</v>
      </c>
      <c r="I182" s="1123">
        <v>21</v>
      </c>
      <c r="J182" s="989">
        <v>23</v>
      </c>
      <c r="K182" s="1686"/>
      <c r="L182" s="1009" t="s">
        <v>3579</v>
      </c>
      <c r="M182" s="1011"/>
      <c r="N182" s="1004"/>
      <c r="O182" s="1004"/>
      <c r="P182" s="1004"/>
      <c r="Q182" s="1004"/>
      <c r="R182" s="1004"/>
      <c r="S182" s="496"/>
      <c r="T182" s="496"/>
    </row>
    <row r="183" spans="1:20" ht="45" hidden="1" customHeight="1">
      <c r="A183" s="1364"/>
      <c r="B183" s="975" t="s">
        <v>3248</v>
      </c>
      <c r="C183" s="1078"/>
      <c r="D183" s="990"/>
      <c r="E183" s="989"/>
      <c r="F183" s="1183"/>
      <c r="G183" s="989"/>
      <c r="H183" s="989"/>
      <c r="I183" s="1123"/>
      <c r="J183" s="989"/>
      <c r="K183" s="1686"/>
      <c r="L183" s="989"/>
      <c r="M183" s="1011"/>
      <c r="N183" s="1004"/>
      <c r="O183" s="1004"/>
      <c r="P183" s="1004"/>
      <c r="Q183" s="1004"/>
      <c r="R183" s="1004"/>
      <c r="S183" s="496"/>
      <c r="T183" s="496"/>
    </row>
    <row r="184" spans="1:20" ht="74.25" customHeight="1">
      <c r="A184" s="1017" t="s">
        <v>3212</v>
      </c>
      <c r="B184" s="954" t="s">
        <v>2206</v>
      </c>
      <c r="C184" s="1017"/>
      <c r="D184" s="1017"/>
      <c r="E184" s="1095">
        <f>SUM(E187)</f>
        <v>13.5</v>
      </c>
      <c r="F184" s="2031">
        <f t="shared" si="43"/>
        <v>-0.2592592592592593</v>
      </c>
      <c r="G184" s="1886"/>
      <c r="H184" s="1095">
        <f t="shared" ref="H184:J184" si="49">SUM(H187)</f>
        <v>10</v>
      </c>
      <c r="I184" s="1927">
        <f t="shared" si="49"/>
        <v>20</v>
      </c>
      <c r="J184" s="1095">
        <f t="shared" si="49"/>
        <v>20</v>
      </c>
      <c r="K184" s="577" t="s">
        <v>3213</v>
      </c>
      <c r="L184" s="1017"/>
      <c r="M184" s="1017" t="s">
        <v>3214</v>
      </c>
      <c r="N184" s="954" t="s">
        <v>3215</v>
      </c>
      <c r="O184" s="1017">
        <v>0</v>
      </c>
      <c r="P184" s="1017">
        <v>0</v>
      </c>
      <c r="Q184" s="1017">
        <v>50</v>
      </c>
      <c r="R184" s="1017"/>
      <c r="S184" s="3467" t="s">
        <v>819</v>
      </c>
      <c r="T184" s="3467"/>
    </row>
    <row r="185" spans="1:20" ht="34.15" customHeight="1">
      <c r="A185" s="2746" t="s">
        <v>3216</v>
      </c>
      <c r="B185" s="3465" t="s">
        <v>3800</v>
      </c>
      <c r="C185" s="2783">
        <v>188711925</v>
      </c>
      <c r="D185" s="1360" t="s">
        <v>2928</v>
      </c>
      <c r="E185" s="1100">
        <v>13.5</v>
      </c>
      <c r="F185" s="1994">
        <f t="shared" si="43"/>
        <v>-1</v>
      </c>
      <c r="G185" s="1894"/>
      <c r="H185" s="1100"/>
      <c r="I185" s="1117"/>
      <c r="J185" s="1053"/>
      <c r="K185" s="2394" t="s">
        <v>3217</v>
      </c>
      <c r="L185" s="2395" t="s">
        <v>3247</v>
      </c>
      <c r="M185" s="2342" t="s">
        <v>3218</v>
      </c>
      <c r="N185" s="2342" t="s">
        <v>3243</v>
      </c>
      <c r="O185" s="2342" t="s">
        <v>324</v>
      </c>
      <c r="P185" s="2342" t="s">
        <v>434</v>
      </c>
      <c r="Q185" s="2342" t="s">
        <v>324</v>
      </c>
      <c r="R185" s="2342" t="s">
        <v>324</v>
      </c>
      <c r="S185" s="3468" t="s">
        <v>819</v>
      </c>
      <c r="T185" s="3468"/>
    </row>
    <row r="186" spans="1:20" ht="34.15" customHeight="1">
      <c r="A186" s="2746"/>
      <c r="B186" s="3465"/>
      <c r="C186" s="2783"/>
      <c r="D186" s="1360" t="s">
        <v>471</v>
      </c>
      <c r="E186" s="1100">
        <v>0</v>
      </c>
      <c r="F186" s="1994" t="e">
        <f t="shared" si="43"/>
        <v>#DIV/0!</v>
      </c>
      <c r="G186" s="1894">
        <v>10</v>
      </c>
      <c r="H186" s="1100">
        <v>10</v>
      </c>
      <c r="I186" s="1117">
        <v>20</v>
      </c>
      <c r="J186" s="1053">
        <v>20</v>
      </c>
      <c r="K186" s="2394"/>
      <c r="L186" s="2395"/>
      <c r="M186" s="2342"/>
      <c r="N186" s="2342"/>
      <c r="O186" s="2342"/>
      <c r="P186" s="2342"/>
      <c r="Q186" s="2342"/>
      <c r="R186" s="2342"/>
      <c r="S186" s="3468"/>
      <c r="T186" s="3468"/>
    </row>
    <row r="187" spans="1:20" ht="37.9" customHeight="1">
      <c r="A187" s="2727"/>
      <c r="B187" s="3466"/>
      <c r="C187" s="2466"/>
      <c r="D187" s="1056" t="s">
        <v>1076</v>
      </c>
      <c r="E187" s="1059">
        <f>SUM(E185:E185)</f>
        <v>13.5</v>
      </c>
      <c r="F187" s="2021">
        <f t="shared" si="43"/>
        <v>-0.2592592592592593</v>
      </c>
      <c r="G187" s="1899">
        <f>G185+G186</f>
        <v>10</v>
      </c>
      <c r="H187" s="1059">
        <f>H186</f>
        <v>10</v>
      </c>
      <c r="I187" s="1091">
        <f>I186</f>
        <v>20</v>
      </c>
      <c r="J187" s="1059">
        <f>J186</f>
        <v>20</v>
      </c>
      <c r="K187" s="2394"/>
      <c r="L187" s="2396"/>
      <c r="M187" s="2342"/>
      <c r="N187" s="2342"/>
      <c r="O187" s="2342"/>
      <c r="P187" s="2342"/>
      <c r="Q187" s="2342"/>
      <c r="R187" s="2342"/>
      <c r="S187" s="3468"/>
      <c r="T187" s="3468"/>
    </row>
    <row r="188" spans="1:20" ht="50.45" customHeight="1">
      <c r="A188" s="2829"/>
      <c r="B188" s="2829"/>
      <c r="C188" s="2829"/>
      <c r="D188" s="2829"/>
      <c r="E188" s="186" t="str">
        <f>E17</f>
        <v>2024  m. asignavimai ir kitos lėšos, tūkst. Eur</v>
      </c>
      <c r="F188" s="494" t="s">
        <v>3099</v>
      </c>
      <c r="G188" s="495" t="s">
        <v>3100</v>
      </c>
      <c r="H188" s="186" t="str">
        <f>H17</f>
        <v>2025 m.  asignavimai ir kitos lėšos, tūkst. Eur</v>
      </c>
      <c r="I188" s="194" t="str">
        <f>I17</f>
        <v>2026 m.  asignavimai ir kitos lėšos, tūkst. Eur</v>
      </c>
      <c r="J188" s="186" t="s">
        <v>3246</v>
      </c>
      <c r="K188" s="1248"/>
      <c r="L188" s="1248"/>
      <c r="M188" s="89"/>
      <c r="N188" s="89"/>
      <c r="O188" s="208"/>
      <c r="P188" s="208"/>
      <c r="Q188" s="208"/>
      <c r="R188" s="208"/>
      <c r="S188" s="195"/>
      <c r="T188" s="196"/>
    </row>
    <row r="189" spans="1:20" ht="31.9" customHeight="1">
      <c r="A189" s="2830"/>
      <c r="B189" s="2847" t="s">
        <v>722</v>
      </c>
      <c r="C189" s="2847"/>
      <c r="D189" s="2847"/>
      <c r="E189" s="171">
        <f>SUM(E190,E191,E194,E195,E196,E197,)</f>
        <v>1924.9740000000002</v>
      </c>
      <c r="F189" s="493">
        <f t="shared" si="43"/>
        <v>0.49440600236678511</v>
      </c>
      <c r="G189" s="489">
        <f>SUM(G190,G191,G194,G195,G196,G197,)</f>
        <v>2169.125</v>
      </c>
      <c r="H189" s="171">
        <f>SUM(H190,H191,H194,H195,H196,H197,)</f>
        <v>2876.6927000000001</v>
      </c>
      <c r="I189" s="171">
        <f>SUM(I190,I191,I194,I195,I196,I197,)</f>
        <v>5654.4358400000001</v>
      </c>
      <c r="J189" s="168">
        <f>SUM(J190,J191,J194,J195,J196,J197,)</f>
        <v>4854.4130000000005</v>
      </c>
      <c r="K189" s="197"/>
      <c r="L189" s="175"/>
      <c r="M189" s="175"/>
      <c r="N189" s="175"/>
      <c r="O189" s="199"/>
      <c r="P189" s="199"/>
      <c r="Q189" s="199"/>
      <c r="R189" s="199"/>
      <c r="S189" s="215"/>
      <c r="T189" s="215"/>
    </row>
    <row r="190" spans="1:20" ht="39" customHeight="1">
      <c r="A190" s="2831"/>
      <c r="B190" s="2846" t="s">
        <v>2027</v>
      </c>
      <c r="C190" s="2846"/>
      <c r="D190" s="2846"/>
      <c r="E190" s="172">
        <f>SUM(E22,E28,E32,E34,E36,E38,E41,E45,E51,E53,E55,E58,E60,E65,E67,E77,E79,E121,E127,E135,E140,E150,E162,E172,E176,E178,)</f>
        <v>773.7</v>
      </c>
      <c r="F190" s="493">
        <f t="shared" si="43"/>
        <v>-4.9398991857309116E-2</v>
      </c>
      <c r="G190" s="488">
        <f>SUM(G22,G28,G32,G34,G36,G38,G41,G45,G51,G53,G55,G58,G60,G65,G67,G77,G79,G121,G127,G135,G140,G150,G162,G172,G176,G178,G90,G186)</f>
        <v>1274.2330000000002</v>
      </c>
      <c r="H190" s="504">
        <f>SUM(H22,H28,H32,H34,H36,H38,H41,H45,H51,H53,H55,H58,H60,H65,H67,H77,H79,H121,H127,H135,H140,H150,H162,H172,H176,H178,H90,H186,H159,H116,)</f>
        <v>735.48</v>
      </c>
      <c r="I190" s="504">
        <f>SUM(I22,I28,I32,I34,I36,I38,I41,I45,I51,I53,I55,I58,I60,I65,I67,I77,I79,I121,I127,I135,I140,I150,I162,I172,I176,I178,I90,I186,I159,I116,I84)</f>
        <v>1570.6950000000002</v>
      </c>
      <c r="J190" s="504">
        <f>SUM(J22,J28,J32,J34,J36,J38,J41,J45,J51,J53,J55,J58,J60,J65,J67,J77,J79,J121,J127,J135,J140,J150,J162,J172,J176,J178,J90,J186,J159,J116,J84)</f>
        <v>1140.44</v>
      </c>
      <c r="K190" s="198"/>
      <c r="L190" s="216"/>
      <c r="M190" s="175"/>
      <c r="N190" s="175"/>
      <c r="O190" s="199"/>
      <c r="P190" s="199"/>
      <c r="Q190" s="199"/>
      <c r="R190" s="199"/>
      <c r="S190" s="175"/>
      <c r="T190" s="175"/>
    </row>
    <row r="191" spans="1:20" ht="27" customHeight="1">
      <c r="A191" s="2831"/>
      <c r="B191" s="2846" t="s">
        <v>724</v>
      </c>
      <c r="C191" s="2846"/>
      <c r="D191" s="2846"/>
      <c r="E191" s="172">
        <f>SUM(E174,E138,E47,E39,E69)</f>
        <v>98.503</v>
      </c>
      <c r="F191" s="493">
        <f t="shared" si="43"/>
        <v>0.16770047612763062</v>
      </c>
      <c r="G191" s="488">
        <f>SUM(G174,G138,G47,G39,,G157,G88,G69,)</f>
        <v>145.54399999999998</v>
      </c>
      <c r="H191" s="172">
        <f>SUM(H192,H193)</f>
        <v>115.02200000000001</v>
      </c>
      <c r="I191" s="172">
        <f t="shared" ref="I191:J191" si="50">SUM(I192,I193)</f>
        <v>89.81</v>
      </c>
      <c r="J191" s="172">
        <f t="shared" si="50"/>
        <v>89.81</v>
      </c>
      <c r="K191" s="198"/>
      <c r="L191" s="175"/>
      <c r="M191" s="175"/>
      <c r="N191" s="175"/>
      <c r="O191" s="199"/>
      <c r="P191" s="199"/>
      <c r="Q191" s="199"/>
      <c r="R191" s="199"/>
      <c r="S191" s="175"/>
      <c r="T191" s="175"/>
    </row>
    <row r="192" spans="1:20" ht="27" hidden="1" customHeight="1">
      <c r="A192" s="2831"/>
      <c r="B192" s="3469" t="s">
        <v>3995</v>
      </c>
      <c r="C192" s="3470"/>
      <c r="D192" s="3471"/>
      <c r="E192" s="591"/>
      <c r="F192" s="597"/>
      <c r="G192" s="852"/>
      <c r="H192" s="485">
        <f>H39</f>
        <v>89.81</v>
      </c>
      <c r="I192" s="485">
        <f t="shared" ref="I192:J192" si="51">I39</f>
        <v>89.81</v>
      </c>
      <c r="J192" s="485">
        <f t="shared" si="51"/>
        <v>89.81</v>
      </c>
      <c r="K192" s="255"/>
      <c r="L192" s="175"/>
      <c r="M192" s="175"/>
      <c r="N192" s="175"/>
      <c r="O192" s="199"/>
      <c r="P192" s="199"/>
      <c r="Q192" s="199"/>
      <c r="R192" s="199"/>
      <c r="S192" s="175"/>
      <c r="T192" s="175"/>
    </row>
    <row r="193" spans="1:20" ht="27" hidden="1" customHeight="1">
      <c r="A193" s="2831"/>
      <c r="B193" s="3469" t="s">
        <v>3994</v>
      </c>
      <c r="C193" s="3470"/>
      <c r="D193" s="3471"/>
      <c r="E193" s="591"/>
      <c r="F193" s="597"/>
      <c r="G193" s="852"/>
      <c r="H193" s="485">
        <f>H71</f>
        <v>25.212</v>
      </c>
      <c r="I193" s="485">
        <f t="shared" ref="I193:J193" si="52">I71</f>
        <v>0</v>
      </c>
      <c r="J193" s="485">
        <f t="shared" si="52"/>
        <v>0</v>
      </c>
      <c r="K193" s="198"/>
      <c r="L193" s="175"/>
      <c r="M193" s="175"/>
      <c r="N193" s="175"/>
      <c r="O193" s="199"/>
      <c r="P193" s="199"/>
      <c r="Q193" s="199"/>
      <c r="R193" s="199"/>
      <c r="S193" s="175"/>
      <c r="T193" s="175"/>
    </row>
    <row r="194" spans="1:20" ht="21" customHeight="1">
      <c r="A194" s="2831"/>
      <c r="B194" s="2846" t="s">
        <v>725</v>
      </c>
      <c r="C194" s="2846"/>
      <c r="D194" s="2846"/>
      <c r="E194" s="172">
        <f>E173</f>
        <v>131.69999999999999</v>
      </c>
      <c r="F194" s="493">
        <f t="shared" si="43"/>
        <v>0.10326499620349305</v>
      </c>
      <c r="G194" s="488">
        <f>G173</f>
        <v>145.30000000000001</v>
      </c>
      <c r="H194" s="172">
        <f t="shared" ref="H194" si="53">H173</f>
        <v>145.30000000000001</v>
      </c>
      <c r="I194" s="172">
        <f>SUM(I173)</f>
        <v>156.5</v>
      </c>
      <c r="J194" s="172">
        <f>SUM(J173)</f>
        <v>168.6</v>
      </c>
      <c r="K194" s="255"/>
      <c r="L194" s="175"/>
      <c r="M194" s="175"/>
      <c r="N194" s="175"/>
      <c r="O194" s="199"/>
      <c r="P194" s="199"/>
      <c r="Q194" s="199"/>
      <c r="R194" s="199"/>
      <c r="S194" s="175"/>
      <c r="T194" s="175"/>
    </row>
    <row r="195" spans="1:20" ht="29.45" customHeight="1">
      <c r="A195" s="2831"/>
      <c r="B195" s="2848" t="s">
        <v>2861</v>
      </c>
      <c r="C195" s="2848"/>
      <c r="D195" s="2848"/>
      <c r="E195" s="256">
        <f>E156</f>
        <v>2.375</v>
      </c>
      <c r="F195" s="493">
        <f t="shared" si="43"/>
        <v>72.601136842105262</v>
      </c>
      <c r="G195" s="488">
        <f>SUM(G20,G26,G87,G88,G119,G125,)</f>
        <v>0</v>
      </c>
      <c r="H195" s="172">
        <f>SUM(H156,H125,H119,H87,H26,H20,H157)</f>
        <v>174.80269999999999</v>
      </c>
      <c r="I195" s="172">
        <f>SUM(I156,I125,I119,I26,I20,I157,I87,)</f>
        <v>3634.6858400000001</v>
      </c>
      <c r="J195" s="172">
        <f>SUM(J156,J125,J119,J26,J20,J157,J87,)</f>
        <v>2904.4560000000001</v>
      </c>
      <c r="K195" s="198"/>
      <c r="L195" s="175"/>
      <c r="M195" s="175"/>
      <c r="N195" s="175"/>
      <c r="O195" s="199"/>
      <c r="P195" s="199"/>
      <c r="Q195" s="199"/>
      <c r="R195" s="199"/>
      <c r="S195" s="175"/>
      <c r="T195" s="175"/>
    </row>
    <row r="196" spans="1:20" ht="21" customHeight="1">
      <c r="A196" s="2831"/>
      <c r="B196" s="2846" t="s">
        <v>726</v>
      </c>
      <c r="C196" s="2846"/>
      <c r="D196" s="2846"/>
      <c r="E196" s="172">
        <v>0</v>
      </c>
      <c r="F196" s="493">
        <v>0</v>
      </c>
      <c r="G196" s="488">
        <v>0</v>
      </c>
      <c r="H196" s="172">
        <f>SUM(H24,H30,H91,H123,H129,)</f>
        <v>0</v>
      </c>
      <c r="I196" s="172">
        <f>SUM(I24,I30,I91,I123,I129,)</f>
        <v>202.745</v>
      </c>
      <c r="J196" s="172">
        <f>SUM(J24,J30,J91,J123,J129,)</f>
        <v>551.10699999999997</v>
      </c>
      <c r="K196" s="198"/>
      <c r="L196" s="175"/>
      <c r="M196" s="175"/>
      <c r="N196" s="175"/>
      <c r="O196" s="199"/>
      <c r="P196" s="199"/>
      <c r="Q196" s="199"/>
      <c r="R196" s="199"/>
      <c r="S196" s="175"/>
      <c r="T196" s="175"/>
    </row>
    <row r="197" spans="1:20" ht="21" customHeight="1">
      <c r="A197" s="2831"/>
      <c r="B197" s="2846" t="s">
        <v>727</v>
      </c>
      <c r="C197" s="2846"/>
      <c r="D197" s="2846"/>
      <c r="E197" s="172">
        <f>SUM(E75,E83,E89,E116,E158,E185,E163,E42)</f>
        <v>918.69600000000003</v>
      </c>
      <c r="F197" s="493">
        <f t="shared" si="43"/>
        <v>0.8570756811828939</v>
      </c>
      <c r="G197" s="488">
        <f>SUM(G75,G83,G89,G116,G158,G185,G163,G42)</f>
        <v>604.048</v>
      </c>
      <c r="H197" s="172">
        <f>SUM(H75,H83,H89,H158,H185,H163,H42,H128,H122,H29,H23,H68,H117)</f>
        <v>1706.088</v>
      </c>
      <c r="I197" s="172">
        <f t="shared" ref="I197:J197" si="54">SUM(I75,I83,I89,I158,I185,I163,I42,I128,I122,I29,I23,I68,I117)</f>
        <v>0</v>
      </c>
      <c r="J197" s="172">
        <f t="shared" si="54"/>
        <v>0</v>
      </c>
      <c r="K197" s="255"/>
      <c r="L197" s="175"/>
      <c r="M197" s="175"/>
      <c r="N197" s="175"/>
      <c r="O197" s="199"/>
      <c r="P197" s="199"/>
      <c r="Q197" s="199"/>
      <c r="R197" s="199"/>
      <c r="S197" s="175"/>
      <c r="T197" s="175"/>
    </row>
    <row r="198" spans="1:20" ht="36.6" customHeight="1">
      <c r="A198" s="2831"/>
      <c r="B198" s="2847" t="s">
        <v>728</v>
      </c>
      <c r="C198" s="2847"/>
      <c r="D198" s="2847"/>
      <c r="E198" s="200">
        <f>SUM(E87,E81)</f>
        <v>94.785000000000011</v>
      </c>
      <c r="F198" s="493">
        <f t="shared" si="43"/>
        <v>-1</v>
      </c>
      <c r="G198" s="490">
        <f>SUM(G87,G81)</f>
        <v>0</v>
      </c>
      <c r="H198" s="200">
        <f>SUM(H87,H81)</f>
        <v>0</v>
      </c>
      <c r="I198" s="200"/>
      <c r="J198" s="200"/>
      <c r="K198" s="198"/>
      <c r="L198" s="175"/>
      <c r="M198" s="175"/>
      <c r="N198" s="175"/>
      <c r="O198" s="199"/>
      <c r="P198" s="199"/>
      <c r="Q198" s="199"/>
      <c r="R198" s="199"/>
      <c r="S198" s="175"/>
      <c r="T198" s="175"/>
    </row>
    <row r="199" spans="1:20" ht="34.9" customHeight="1">
      <c r="A199" s="2831"/>
      <c r="B199" s="2847" t="s">
        <v>1092</v>
      </c>
      <c r="C199" s="2847"/>
      <c r="D199" s="2847"/>
      <c r="E199" s="168">
        <f>E189+E198</f>
        <v>2019.7590000000002</v>
      </c>
      <c r="F199" s="493">
        <f t="shared" si="43"/>
        <v>0.4242752229350133</v>
      </c>
      <c r="G199" s="491">
        <f>G189+G198</f>
        <v>2169.125</v>
      </c>
      <c r="H199" s="168">
        <f>H189+H198</f>
        <v>2876.6927000000001</v>
      </c>
      <c r="I199" s="168">
        <f>I189+I198</f>
        <v>5654.4358400000001</v>
      </c>
      <c r="J199" s="168">
        <f>J189+J198</f>
        <v>4854.4130000000005</v>
      </c>
      <c r="K199" s="197"/>
      <c r="L199" s="175"/>
      <c r="M199" s="175"/>
      <c r="N199" s="175"/>
      <c r="O199" s="199"/>
      <c r="P199" s="199"/>
      <c r="Q199" s="199"/>
      <c r="R199" s="199"/>
      <c r="S199" s="175"/>
      <c r="T199" s="175"/>
    </row>
    <row r="200" spans="1:20" ht="21" customHeight="1">
      <c r="A200" s="2831"/>
      <c r="B200" s="2847" t="s">
        <v>2028</v>
      </c>
      <c r="C200" s="2847"/>
      <c r="D200" s="2847"/>
      <c r="E200" s="171">
        <v>0</v>
      </c>
      <c r="F200" s="493" t="e">
        <f t="shared" si="43"/>
        <v>#DIV/0!</v>
      </c>
      <c r="G200" s="489">
        <f>SUM(G25,G31,G124,G130,G187)</f>
        <v>532.04700000000003</v>
      </c>
      <c r="H200" s="171">
        <f>SUM(H25,H31,H124,H130,H187)</f>
        <v>532.048</v>
      </c>
      <c r="I200" s="171">
        <f>SUM(I25,I31,I124,I130,I187)</f>
        <v>3033.7710000000002</v>
      </c>
      <c r="J200" s="171">
        <f>SUM(J25,J31,J124,J130,J187)</f>
        <v>1495.1179999999999</v>
      </c>
      <c r="K200" s="197"/>
      <c r="L200" s="175"/>
      <c r="M200" s="175"/>
      <c r="N200" s="175"/>
      <c r="O200" s="199"/>
      <c r="P200" s="199"/>
      <c r="Q200" s="199"/>
      <c r="R200" s="199"/>
      <c r="S200" s="175"/>
      <c r="T200" s="175"/>
    </row>
    <row r="201" spans="1:20" ht="40.9" customHeight="1">
      <c r="A201" s="2832"/>
      <c r="B201" s="2847" t="s">
        <v>729</v>
      </c>
      <c r="C201" s="2847"/>
      <c r="D201" s="2847"/>
      <c r="E201" s="201"/>
      <c r="F201" s="493" t="e">
        <f t="shared" si="43"/>
        <v>#DIV/0!</v>
      </c>
      <c r="G201" s="492"/>
      <c r="H201" s="201">
        <f>H199/E199-1</f>
        <v>0.4242752229350133</v>
      </c>
      <c r="I201" s="470">
        <f>I199/H199-1</f>
        <v>0.96560301348837152</v>
      </c>
      <c r="J201" s="472">
        <f>J199/I199-1</f>
        <v>-0.14148588164013898</v>
      </c>
      <c r="K201" s="197"/>
      <c r="L201" s="89"/>
      <c r="M201" s="175"/>
      <c r="N201" s="175"/>
      <c r="O201" s="199"/>
      <c r="P201" s="199"/>
      <c r="Q201" s="199"/>
      <c r="R201" s="199"/>
      <c r="S201" s="175"/>
      <c r="T201" s="175"/>
    </row>
    <row r="203" spans="1:20" ht="21" hidden="1" customHeight="1">
      <c r="E203" s="87">
        <v>1824.096</v>
      </c>
    </row>
    <row r="204" spans="1:20" ht="21" hidden="1" customHeight="1">
      <c r="E204" s="115">
        <f>E203-E190-E194-E197</f>
        <v>0</v>
      </c>
      <c r="F204" s="115"/>
      <c r="G204" s="115"/>
    </row>
    <row r="205" spans="1:20" ht="21" hidden="1" customHeight="1">
      <c r="B205" s="3472"/>
      <c r="C205" s="3472"/>
      <c r="D205" s="3472"/>
    </row>
    <row r="206" spans="1:20" ht="21" hidden="1" customHeight="1">
      <c r="G206" s="87" t="s">
        <v>4065</v>
      </c>
      <c r="H206" s="87">
        <v>2586.8679999999999</v>
      </c>
    </row>
    <row r="207" spans="1:20" ht="21" hidden="1" customHeight="1">
      <c r="H207" s="115">
        <f>H206-H190-H194-H196-H197</f>
        <v>0</v>
      </c>
    </row>
    <row r="208" spans="1:20" ht="21" hidden="1" customHeight="1"/>
    <row r="209" spans="7:10" ht="21" hidden="1" customHeight="1">
      <c r="G209" s="1221"/>
      <c r="H209" s="1223">
        <v>2701.89</v>
      </c>
      <c r="I209" s="1221">
        <v>5654.4359999999997</v>
      </c>
      <c r="J209" s="1228">
        <v>4854.4129999999996</v>
      </c>
    </row>
    <row r="210" spans="7:10" ht="21" hidden="1" customHeight="1">
      <c r="G210" s="1222" t="s">
        <v>4132</v>
      </c>
      <c r="H210" s="1223">
        <f>H209-H199</f>
        <v>-174.80270000000019</v>
      </c>
      <c r="I210" s="1223">
        <f>I209-I199</f>
        <v>1.5999999959603883E-4</v>
      </c>
      <c r="J210" s="1229">
        <f>J209-J199</f>
        <v>0</v>
      </c>
    </row>
    <row r="211" spans="7:10" ht="21" hidden="1" customHeight="1">
      <c r="H211" s="115"/>
    </row>
    <row r="212" spans="7:10" ht="21" hidden="1" customHeight="1">
      <c r="H212" s="115"/>
    </row>
  </sheetData>
  <sheetProtection algorithmName="SHA-512" hashValue="ASVM86H2B8XQ4tSE7eKfUXeTbSvq/t6IH4WHd0wNbMY1V+cYIGuOHW5uDuF+P/5cIFat4RLGNX/BkmTVEVY3hw==" saltValue="7/BuCoRPbFaaTV3LeQefjA==" spinCount="100000" sheet="1" objects="1" scenarios="1"/>
  <mergeCells count="503">
    <mergeCell ref="R93:R97"/>
    <mergeCell ref="R102:R105"/>
    <mergeCell ref="R116:R118"/>
    <mergeCell ref="Q178:Q179"/>
    <mergeCell ref="R172:R175"/>
    <mergeCell ref="N121:N124"/>
    <mergeCell ref="P121:P124"/>
    <mergeCell ref="Q121:Q124"/>
    <mergeCell ref="R121:R124"/>
    <mergeCell ref="N127:N130"/>
    <mergeCell ref="P127:P130"/>
    <mergeCell ref="Q127:Q130"/>
    <mergeCell ref="R127:R130"/>
    <mergeCell ref="Q156:Q160"/>
    <mergeCell ref="B205:D205"/>
    <mergeCell ref="F17:F18"/>
    <mergeCell ref="G17:G18"/>
    <mergeCell ref="J17:J18"/>
    <mergeCell ref="O20:O22"/>
    <mergeCell ref="R32:R33"/>
    <mergeCell ref="R34:R35"/>
    <mergeCell ref="R36:R37"/>
    <mergeCell ref="R41:R43"/>
    <mergeCell ref="R51:R52"/>
    <mergeCell ref="A188:D188"/>
    <mergeCell ref="A189:A201"/>
    <mergeCell ref="B189:D189"/>
    <mergeCell ref="B190:D190"/>
    <mergeCell ref="B191:D191"/>
    <mergeCell ref="B194:D194"/>
    <mergeCell ref="B195:D195"/>
    <mergeCell ref="B196:D196"/>
    <mergeCell ref="B197:D197"/>
    <mergeCell ref="C102:C105"/>
    <mergeCell ref="L102:L105"/>
    <mergeCell ref="M102:M105"/>
    <mergeCell ref="N102:N105"/>
    <mergeCell ref="B198:D198"/>
    <mergeCell ref="B199:D199"/>
    <mergeCell ref="B200:D200"/>
    <mergeCell ref="B201:D201"/>
    <mergeCell ref="L178:L179"/>
    <mergeCell ref="M178:M179"/>
    <mergeCell ref="N178:N179"/>
    <mergeCell ref="O178:O179"/>
    <mergeCell ref="P178:P179"/>
    <mergeCell ref="S184:T184"/>
    <mergeCell ref="Q185:Q187"/>
    <mergeCell ref="S185:T187"/>
    <mergeCell ref="R185:R187"/>
    <mergeCell ref="B193:D193"/>
    <mergeCell ref="B192:D192"/>
    <mergeCell ref="A185:A187"/>
    <mergeCell ref="B185:B187"/>
    <mergeCell ref="C185:C187"/>
    <mergeCell ref="K185:K187"/>
    <mergeCell ref="L185:L187"/>
    <mergeCell ref="M185:M187"/>
    <mergeCell ref="N185:N187"/>
    <mergeCell ref="O185:O187"/>
    <mergeCell ref="P185:P187"/>
    <mergeCell ref="T170:T171"/>
    <mergeCell ref="A172:A175"/>
    <mergeCell ref="B172:B175"/>
    <mergeCell ref="C172:C175"/>
    <mergeCell ref="K172:K179"/>
    <mergeCell ref="L172:L175"/>
    <mergeCell ref="M172:M175"/>
    <mergeCell ref="N172:N175"/>
    <mergeCell ref="O172:O175"/>
    <mergeCell ref="P172:P175"/>
    <mergeCell ref="Q172:Q175"/>
    <mergeCell ref="S172:T179"/>
    <mergeCell ref="A176:A177"/>
    <mergeCell ref="B176:B177"/>
    <mergeCell ref="C176:C177"/>
    <mergeCell ref="L176:L177"/>
    <mergeCell ref="M176:M177"/>
    <mergeCell ref="N176:N177"/>
    <mergeCell ref="O176:O177"/>
    <mergeCell ref="P176:P177"/>
    <mergeCell ref="Q176:Q177"/>
    <mergeCell ref="A178:A179"/>
    <mergeCell ref="B178:B179"/>
    <mergeCell ref="C178:C179"/>
    <mergeCell ref="A170:A171"/>
    <mergeCell ref="B170:B171"/>
    <mergeCell ref="C170:C171"/>
    <mergeCell ref="L170:L171"/>
    <mergeCell ref="M170:M171"/>
    <mergeCell ref="N170:N171"/>
    <mergeCell ref="O170:O171"/>
    <mergeCell ref="P170:P171"/>
    <mergeCell ref="Q170:Q171"/>
    <mergeCell ref="T165:T166"/>
    <mergeCell ref="A167:A169"/>
    <mergeCell ref="B167:B169"/>
    <mergeCell ref="C167:C169"/>
    <mergeCell ref="L167:L169"/>
    <mergeCell ref="M167:M169"/>
    <mergeCell ref="N167:N169"/>
    <mergeCell ref="O167:O169"/>
    <mergeCell ref="P167:P169"/>
    <mergeCell ref="Q167:Q169"/>
    <mergeCell ref="T167:T169"/>
    <mergeCell ref="A165:A166"/>
    <mergeCell ref="B165:B166"/>
    <mergeCell ref="C165:C166"/>
    <mergeCell ref="L165:L166"/>
    <mergeCell ref="M165:M166"/>
    <mergeCell ref="N165:N166"/>
    <mergeCell ref="O165:O166"/>
    <mergeCell ref="P165:P166"/>
    <mergeCell ref="Q165:Q166"/>
    <mergeCell ref="S156:T160"/>
    <mergeCell ref="S161:T161"/>
    <mergeCell ref="A162:A164"/>
    <mergeCell ref="B162:B164"/>
    <mergeCell ref="C162:C164"/>
    <mergeCell ref="K162:K164"/>
    <mergeCell ref="L162:L164"/>
    <mergeCell ref="M162:M164"/>
    <mergeCell ref="N162:N164"/>
    <mergeCell ref="O162:O164"/>
    <mergeCell ref="P162:P164"/>
    <mergeCell ref="Q162:Q164"/>
    <mergeCell ref="S162:T164"/>
    <mergeCell ref="A156:A160"/>
    <mergeCell ref="B156:B160"/>
    <mergeCell ref="C156:C160"/>
    <mergeCell ref="K156:K160"/>
    <mergeCell ref="L156:L160"/>
    <mergeCell ref="M156:M160"/>
    <mergeCell ref="N156:N160"/>
    <mergeCell ref="O156:O160"/>
    <mergeCell ref="P156:P160"/>
    <mergeCell ref="S142:T142"/>
    <mergeCell ref="S143:T143"/>
    <mergeCell ref="S144:T144"/>
    <mergeCell ref="S145:T145"/>
    <mergeCell ref="S146:T146"/>
    <mergeCell ref="S147:T147"/>
    <mergeCell ref="S148:T148"/>
    <mergeCell ref="S149:T149"/>
    <mergeCell ref="B150:B151"/>
    <mergeCell ref="C150:C151"/>
    <mergeCell ref="K150:K151"/>
    <mergeCell ref="L150:L151"/>
    <mergeCell ref="M150:M151"/>
    <mergeCell ref="N150:N151"/>
    <mergeCell ref="O150:O151"/>
    <mergeCell ref="P150:P151"/>
    <mergeCell ref="Q150:Q151"/>
    <mergeCell ref="S150:T151"/>
    <mergeCell ref="S137:T139"/>
    <mergeCell ref="A140:A141"/>
    <mergeCell ref="B140:B141"/>
    <mergeCell ref="C140:C141"/>
    <mergeCell ref="K140:K141"/>
    <mergeCell ref="L140:L141"/>
    <mergeCell ref="M140:M141"/>
    <mergeCell ref="N140:N141"/>
    <mergeCell ref="O140:O141"/>
    <mergeCell ref="P140:P141"/>
    <mergeCell ref="Q140:Q141"/>
    <mergeCell ref="S140:T141"/>
    <mergeCell ref="A137:A139"/>
    <mergeCell ref="B137:B139"/>
    <mergeCell ref="C137:C139"/>
    <mergeCell ref="K137:K139"/>
    <mergeCell ref="L137:L139"/>
    <mergeCell ref="M137:M139"/>
    <mergeCell ref="N137:N139"/>
    <mergeCell ref="O137:O139"/>
    <mergeCell ref="P137:P139"/>
    <mergeCell ref="S125:T130"/>
    <mergeCell ref="A131:A134"/>
    <mergeCell ref="B131:B134"/>
    <mergeCell ref="C131:C134"/>
    <mergeCell ref="L131:L134"/>
    <mergeCell ref="M131:M134"/>
    <mergeCell ref="A135:A136"/>
    <mergeCell ref="B135:B136"/>
    <mergeCell ref="C135:C136"/>
    <mergeCell ref="K135:K136"/>
    <mergeCell ref="L135:L136"/>
    <mergeCell ref="M135:M136"/>
    <mergeCell ref="N135:N136"/>
    <mergeCell ref="O135:O136"/>
    <mergeCell ref="P135:P136"/>
    <mergeCell ref="Q135:Q136"/>
    <mergeCell ref="S135:T136"/>
    <mergeCell ref="A102:A105"/>
    <mergeCell ref="B102:B105"/>
    <mergeCell ref="A125:A130"/>
    <mergeCell ref="B125:B130"/>
    <mergeCell ref="C125:C130"/>
    <mergeCell ref="K125:K130"/>
    <mergeCell ref="L125:L130"/>
    <mergeCell ref="M125:M130"/>
    <mergeCell ref="S116:T118"/>
    <mergeCell ref="A119:A124"/>
    <mergeCell ref="B119:B124"/>
    <mergeCell ref="C119:C124"/>
    <mergeCell ref="K119:K124"/>
    <mergeCell ref="L119:L124"/>
    <mergeCell ref="M119:M124"/>
    <mergeCell ref="S119:T124"/>
    <mergeCell ref="A116:A118"/>
    <mergeCell ref="C116:C118"/>
    <mergeCell ref="K116:K118"/>
    <mergeCell ref="L116:L118"/>
    <mergeCell ref="M116:M118"/>
    <mergeCell ref="N116:N118"/>
    <mergeCell ref="O116:O118"/>
    <mergeCell ref="P116:P118"/>
    <mergeCell ref="A98:A101"/>
    <mergeCell ref="B98:B101"/>
    <mergeCell ref="C98:C101"/>
    <mergeCell ref="L98:L101"/>
    <mergeCell ref="M98:M101"/>
    <mergeCell ref="N98:N101"/>
    <mergeCell ref="O98:O101"/>
    <mergeCell ref="P98:P101"/>
    <mergeCell ref="Q98:Q101"/>
    <mergeCell ref="A93:A97"/>
    <mergeCell ref="B93:B97"/>
    <mergeCell ref="C93:C97"/>
    <mergeCell ref="L93:L97"/>
    <mergeCell ref="M93:M97"/>
    <mergeCell ref="N93:N97"/>
    <mergeCell ref="O93:O97"/>
    <mergeCell ref="P93:P97"/>
    <mergeCell ref="Q93:Q97"/>
    <mergeCell ref="S83:T85"/>
    <mergeCell ref="S86:T86"/>
    <mergeCell ref="A87:A92"/>
    <mergeCell ref="B87:B92"/>
    <mergeCell ref="C87:C92"/>
    <mergeCell ref="K87:K92"/>
    <mergeCell ref="L87:L92"/>
    <mergeCell ref="M87:M92"/>
    <mergeCell ref="N87:N92"/>
    <mergeCell ref="O87:O92"/>
    <mergeCell ref="P87:P92"/>
    <mergeCell ref="Q87:Q92"/>
    <mergeCell ref="S87:T92"/>
    <mergeCell ref="A83:A85"/>
    <mergeCell ref="B83:B85"/>
    <mergeCell ref="C83:C85"/>
    <mergeCell ref="K83:K85"/>
    <mergeCell ref="L83:L85"/>
    <mergeCell ref="M83:M85"/>
    <mergeCell ref="N83:N85"/>
    <mergeCell ref="O83:O85"/>
    <mergeCell ref="P83:P85"/>
    <mergeCell ref="Q77:Q78"/>
    <mergeCell ref="S77:T82"/>
    <mergeCell ref="Q79:Q80"/>
    <mergeCell ref="Q81:Q82"/>
    <mergeCell ref="A79:A80"/>
    <mergeCell ref="B79:B80"/>
    <mergeCell ref="C79:C80"/>
    <mergeCell ref="K79:K80"/>
    <mergeCell ref="L79:L80"/>
    <mergeCell ref="M79:M80"/>
    <mergeCell ref="N79:N80"/>
    <mergeCell ref="O79:O80"/>
    <mergeCell ref="P79:P80"/>
    <mergeCell ref="A81:A82"/>
    <mergeCell ref="B81:B82"/>
    <mergeCell ref="C81:C82"/>
    <mergeCell ref="K81:K82"/>
    <mergeCell ref="L81:L82"/>
    <mergeCell ref="M81:M82"/>
    <mergeCell ref="N81:N82"/>
    <mergeCell ref="O81:O82"/>
    <mergeCell ref="P81:P82"/>
    <mergeCell ref="S74:T74"/>
    <mergeCell ref="A75:A76"/>
    <mergeCell ref="C75:C76"/>
    <mergeCell ref="K75:K76"/>
    <mergeCell ref="L75:L76"/>
    <mergeCell ref="M75:M76"/>
    <mergeCell ref="N75:N76"/>
    <mergeCell ref="O75:O76"/>
    <mergeCell ref="P75:P76"/>
    <mergeCell ref="Q75:Q76"/>
    <mergeCell ref="S75:T76"/>
    <mergeCell ref="B75:B76"/>
    <mergeCell ref="S67:T71"/>
    <mergeCell ref="A67:A70"/>
    <mergeCell ref="B67:B70"/>
    <mergeCell ref="C67:C70"/>
    <mergeCell ref="O67:O70"/>
    <mergeCell ref="Q60:Q61"/>
    <mergeCell ref="S60:T61"/>
    <mergeCell ref="A65:A66"/>
    <mergeCell ref="B65:B66"/>
    <mergeCell ref="C65:C66"/>
    <mergeCell ref="K65:K66"/>
    <mergeCell ref="L65:L66"/>
    <mergeCell ref="M65:M66"/>
    <mergeCell ref="N65:N66"/>
    <mergeCell ref="O65:O66"/>
    <mergeCell ref="P65:P66"/>
    <mergeCell ref="Q65:Q66"/>
    <mergeCell ref="S65:T66"/>
    <mergeCell ref="A60:A61"/>
    <mergeCell ref="B60:B61"/>
    <mergeCell ref="C60:C61"/>
    <mergeCell ref="L60:L61"/>
    <mergeCell ref="M60:M61"/>
    <mergeCell ref="N60:N61"/>
    <mergeCell ref="O60:O61"/>
    <mergeCell ref="P60:P61"/>
    <mergeCell ref="A58:A59"/>
    <mergeCell ref="B58:B59"/>
    <mergeCell ref="C58:C59"/>
    <mergeCell ref="K58:K59"/>
    <mergeCell ref="L58:L59"/>
    <mergeCell ref="M58:M59"/>
    <mergeCell ref="N58:N59"/>
    <mergeCell ref="O58:O59"/>
    <mergeCell ref="P58:P59"/>
    <mergeCell ref="A55:A56"/>
    <mergeCell ref="B55:B56"/>
    <mergeCell ref="C55:C56"/>
    <mergeCell ref="K55:K56"/>
    <mergeCell ref="L55:L56"/>
    <mergeCell ref="M55:M56"/>
    <mergeCell ref="N55:N56"/>
    <mergeCell ref="O55:O56"/>
    <mergeCell ref="P55:P56"/>
    <mergeCell ref="A53:A54"/>
    <mergeCell ref="B53:B54"/>
    <mergeCell ref="C53:C54"/>
    <mergeCell ref="K53:K54"/>
    <mergeCell ref="L53:L54"/>
    <mergeCell ref="M53:M54"/>
    <mergeCell ref="N53:N54"/>
    <mergeCell ref="O53:O54"/>
    <mergeCell ref="P53:P54"/>
    <mergeCell ref="A51:A52"/>
    <mergeCell ref="B51:B52"/>
    <mergeCell ref="C51:C52"/>
    <mergeCell ref="K51:K52"/>
    <mergeCell ref="L51:L52"/>
    <mergeCell ref="M51:M52"/>
    <mergeCell ref="N51:N52"/>
    <mergeCell ref="O51:O52"/>
    <mergeCell ref="P51:P52"/>
    <mergeCell ref="A45:A49"/>
    <mergeCell ref="B45:B49"/>
    <mergeCell ref="C45:C49"/>
    <mergeCell ref="K45:K49"/>
    <mergeCell ref="L45:L49"/>
    <mergeCell ref="M45:M49"/>
    <mergeCell ref="N45:N49"/>
    <mergeCell ref="O45:O49"/>
    <mergeCell ref="P45:P49"/>
    <mergeCell ref="O1:T1"/>
    <mergeCell ref="A2:T2"/>
    <mergeCell ref="A12:D12"/>
    <mergeCell ref="A14:T14"/>
    <mergeCell ref="S17:T18"/>
    <mergeCell ref="Q32:Q33"/>
    <mergeCell ref="S32:T33"/>
    <mergeCell ref="M26:M31"/>
    <mergeCell ref="O26:O31"/>
    <mergeCell ref="A20:A25"/>
    <mergeCell ref="B20:B25"/>
    <mergeCell ref="C20:C25"/>
    <mergeCell ref="L20:L25"/>
    <mergeCell ref="M20:M25"/>
    <mergeCell ref="A32:A33"/>
    <mergeCell ref="B32:B33"/>
    <mergeCell ref="C32:C33"/>
    <mergeCell ref="K32:K33"/>
    <mergeCell ref="L32:L33"/>
    <mergeCell ref="M32:M33"/>
    <mergeCell ref="N32:N33"/>
    <mergeCell ref="O32:O33"/>
    <mergeCell ref="P32:P33"/>
    <mergeCell ref="S19:T19"/>
    <mergeCell ref="S20:T25"/>
    <mergeCell ref="H17:H18"/>
    <mergeCell ref="L17:L18"/>
    <mergeCell ref="M17:M18"/>
    <mergeCell ref="N17:N18"/>
    <mergeCell ref="K17:K18"/>
    <mergeCell ref="K20:K25"/>
    <mergeCell ref="L34:L35"/>
    <mergeCell ref="M34:M35"/>
    <mergeCell ref="N34:N35"/>
    <mergeCell ref="I17:I18"/>
    <mergeCell ref="O17:R17"/>
    <mergeCell ref="O34:O35"/>
    <mergeCell ref="P34:P35"/>
    <mergeCell ref="Q34:Q35"/>
    <mergeCell ref="S34:T43"/>
    <mergeCell ref="K36:K37"/>
    <mergeCell ref="L36:L37"/>
    <mergeCell ref="M36:M37"/>
    <mergeCell ref="N36:N37"/>
    <mergeCell ref="O36:O37"/>
    <mergeCell ref="P36:P37"/>
    <mergeCell ref="Q36:Q37"/>
    <mergeCell ref="N38:N40"/>
    <mergeCell ref="A41:A43"/>
    <mergeCell ref="C41:C43"/>
    <mergeCell ref="K41:K43"/>
    <mergeCell ref="A1:K1"/>
    <mergeCell ref="E17:E18"/>
    <mergeCell ref="C17:C18"/>
    <mergeCell ref="D17:D18"/>
    <mergeCell ref="A26:A31"/>
    <mergeCell ref="B26:B31"/>
    <mergeCell ref="C26:C31"/>
    <mergeCell ref="K26:K31"/>
    <mergeCell ref="B17:B18"/>
    <mergeCell ref="A17:A18"/>
    <mergeCell ref="A34:A35"/>
    <mergeCell ref="A36:A37"/>
    <mergeCell ref="B36:B37"/>
    <mergeCell ref="C36:C37"/>
    <mergeCell ref="A38:A40"/>
    <mergeCell ref="B38:B40"/>
    <mergeCell ref="C38:C40"/>
    <mergeCell ref="K38:K40"/>
    <mergeCell ref="L38:L40"/>
    <mergeCell ref="S31:T31"/>
    <mergeCell ref="B116:B118"/>
    <mergeCell ref="B41:B43"/>
    <mergeCell ref="S26:T29"/>
    <mergeCell ref="O39:O40"/>
    <mergeCell ref="B34:B35"/>
    <mergeCell ref="C34:C35"/>
    <mergeCell ref="K34:K35"/>
    <mergeCell ref="M38:M40"/>
    <mergeCell ref="L26:L31"/>
    <mergeCell ref="L41:L43"/>
    <mergeCell ref="M41:M43"/>
    <mergeCell ref="N41:N43"/>
    <mergeCell ref="O41:O43"/>
    <mergeCell ref="P41:P43"/>
    <mergeCell ref="Q41:Q43"/>
    <mergeCell ref="S45:T49"/>
    <mergeCell ref="S50:T56"/>
    <mergeCell ref="Q51:Q52"/>
    <mergeCell ref="Q53:Q54"/>
    <mergeCell ref="Q55:Q56"/>
    <mergeCell ref="S57:T59"/>
    <mergeCell ref="K60:K61"/>
    <mergeCell ref="Q58:Q59"/>
    <mergeCell ref="R60:R61"/>
    <mergeCell ref="Q45:Q49"/>
    <mergeCell ref="R53:R54"/>
    <mergeCell ref="R55:R56"/>
    <mergeCell ref="P38:P40"/>
    <mergeCell ref="Q38:Q40"/>
    <mergeCell ref="R38:R40"/>
    <mergeCell ref="N20:N24"/>
    <mergeCell ref="P20:P24"/>
    <mergeCell ref="Q20:Q24"/>
    <mergeCell ref="R20:R24"/>
    <mergeCell ref="N26:N30"/>
    <mergeCell ref="P26:P30"/>
    <mergeCell ref="Q26:Q30"/>
    <mergeCell ref="R26:R30"/>
    <mergeCell ref="D142:D155"/>
    <mergeCell ref="A142:A155"/>
    <mergeCell ref="R162:R164"/>
    <mergeCell ref="R178:R179"/>
    <mergeCell ref="R156:R160"/>
    <mergeCell ref="L153:L154"/>
    <mergeCell ref="R65:R66"/>
    <mergeCell ref="R83:R85"/>
    <mergeCell ref="R87:R92"/>
    <mergeCell ref="Q83:Q85"/>
    <mergeCell ref="Q116:Q118"/>
    <mergeCell ref="Q137:Q139"/>
    <mergeCell ref="O102:O105"/>
    <mergeCell ref="P102:P105"/>
    <mergeCell ref="Q102:Q105"/>
    <mergeCell ref="A77:A78"/>
    <mergeCell ref="B77:B78"/>
    <mergeCell ref="C77:C78"/>
    <mergeCell ref="K77:K78"/>
    <mergeCell ref="L77:L78"/>
    <mergeCell ref="M77:M78"/>
    <mergeCell ref="N77:N78"/>
    <mergeCell ref="O77:O78"/>
    <mergeCell ref="P77:P78"/>
    <mergeCell ref="K67:K73"/>
    <mergeCell ref="L67:L73"/>
    <mergeCell ref="M67:M73"/>
    <mergeCell ref="N67:N73"/>
    <mergeCell ref="P67:P73"/>
    <mergeCell ref="Q67:Q73"/>
    <mergeCell ref="R67:R73"/>
    <mergeCell ref="A71:A73"/>
    <mergeCell ref="B71:B73"/>
  </mergeCells>
  <phoneticPr fontId="18" type="noConversion"/>
  <conditionalFormatting sqref="E17:E18 H17:I18 K17:L17">
    <cfRule type="dataBar" priority="5">
      <dataBar>
        <cfvo type="min"/>
        <cfvo type="max"/>
        <color rgb="FF638EC6"/>
      </dataBar>
      <extLst>
        <ext xmlns:x14="http://schemas.microsoft.com/office/spreadsheetml/2009/9/main" uri="{B025F937-C7B1-47D3-B67F-A62EFF666E3E}">
          <x14:id>{B165F7E7-5EE0-4B11-93BE-F197C24B14E5}</x14:id>
        </ext>
      </extLst>
    </cfRule>
  </conditionalFormatting>
  <conditionalFormatting sqref="F17:G17">
    <cfRule type="dataBar" priority="4">
      <dataBar>
        <cfvo type="min"/>
        <cfvo type="max"/>
        <color rgb="FF638EC6"/>
      </dataBar>
      <extLst>
        <ext xmlns:x14="http://schemas.microsoft.com/office/spreadsheetml/2009/9/main" uri="{B025F937-C7B1-47D3-B67F-A62EFF666E3E}">
          <x14:id>{B494DBD6-3E4C-459D-85DF-862150D41FD6}</x14:id>
        </ext>
      </extLst>
    </cfRule>
  </conditionalFormatting>
  <conditionalFormatting sqref="G18">
    <cfRule type="dataBar" priority="3">
      <dataBar>
        <cfvo type="min"/>
        <cfvo type="max"/>
        <color rgb="FF638EC6"/>
      </dataBar>
      <extLst>
        <ext xmlns:x14="http://schemas.microsoft.com/office/spreadsheetml/2009/9/main" uri="{B025F937-C7B1-47D3-B67F-A62EFF666E3E}">
          <x14:id>{4678AD6B-1531-42C9-B564-523FE50FACAD}</x14:id>
        </ext>
      </extLst>
    </cfRule>
  </conditionalFormatting>
  <conditionalFormatting sqref="J17">
    <cfRule type="dataBar" priority="2">
      <dataBar>
        <cfvo type="min"/>
        <cfvo type="max"/>
        <color rgb="FF638EC6"/>
      </dataBar>
      <extLst>
        <ext xmlns:x14="http://schemas.microsoft.com/office/spreadsheetml/2009/9/main" uri="{B025F937-C7B1-47D3-B67F-A62EFF666E3E}">
          <x14:id>{C471129A-40DB-40C2-BE09-1433F020B5B9}</x14:id>
        </ext>
      </extLst>
    </cfRule>
  </conditionalFormatting>
  <conditionalFormatting sqref="J18">
    <cfRule type="dataBar" priority="1">
      <dataBar>
        <cfvo type="min"/>
        <cfvo type="max"/>
        <color rgb="FF638EC6"/>
      </dataBar>
      <extLst>
        <ext xmlns:x14="http://schemas.microsoft.com/office/spreadsheetml/2009/9/main" uri="{B025F937-C7B1-47D3-B67F-A62EFF666E3E}">
          <x14:id>{0C5B0E66-E153-4AC1-945E-5204EB267BED}</x14:id>
        </ext>
      </extLst>
    </cfRule>
  </conditionalFormatting>
  <pageMargins left="0.7" right="0.7" top="0.75" bottom="0.75" header="0.3" footer="0.3"/>
  <pageSetup paperSize="8" scale="59" fitToHeight="0" orientation="landscape" r:id="rId1"/>
  <legacyDrawing r:id="rId2"/>
  <extLst>
    <ext xmlns:x14="http://schemas.microsoft.com/office/spreadsheetml/2009/9/main" uri="{78C0D931-6437-407d-A8EE-F0AAD7539E65}">
      <x14:conditionalFormattings>
        <x14:conditionalFormatting xmlns:xm="http://schemas.microsoft.com/office/excel/2006/main">
          <x14:cfRule type="dataBar" id="{B165F7E7-5EE0-4B11-93BE-F197C24B14E5}">
            <x14:dataBar minLength="0" maxLength="100" border="1" negativeBarBorderColorSameAsPositive="0">
              <x14:cfvo type="autoMin"/>
              <x14:cfvo type="autoMax"/>
              <x14:borderColor rgb="FF638EC6"/>
              <x14:negativeFillColor rgb="FFFF0000"/>
              <x14:negativeBorderColor rgb="FFFF0000"/>
              <x14:axisColor rgb="FF000000"/>
            </x14:dataBar>
          </x14:cfRule>
          <xm:sqref>E17:E18 H17:I18 K17:L17</xm:sqref>
        </x14:conditionalFormatting>
        <x14:conditionalFormatting xmlns:xm="http://schemas.microsoft.com/office/excel/2006/main">
          <x14:cfRule type="dataBar" id="{B494DBD6-3E4C-459D-85DF-862150D41FD6}">
            <x14:dataBar minLength="0" maxLength="100" border="1" negativeBarBorderColorSameAsPositive="0">
              <x14:cfvo type="autoMin"/>
              <x14:cfvo type="autoMax"/>
              <x14:borderColor rgb="FF638EC6"/>
              <x14:negativeFillColor rgb="FFFF0000"/>
              <x14:negativeBorderColor rgb="FFFF0000"/>
              <x14:axisColor rgb="FF000000"/>
            </x14:dataBar>
          </x14:cfRule>
          <xm:sqref>F17:G17</xm:sqref>
        </x14:conditionalFormatting>
        <x14:conditionalFormatting xmlns:xm="http://schemas.microsoft.com/office/excel/2006/main">
          <x14:cfRule type="dataBar" id="{4678AD6B-1531-42C9-B564-523FE50FACAD}">
            <x14:dataBar minLength="0" maxLength="100" border="1" negativeBarBorderColorSameAsPositive="0">
              <x14:cfvo type="autoMin"/>
              <x14:cfvo type="autoMax"/>
              <x14:borderColor rgb="FF638EC6"/>
              <x14:negativeFillColor rgb="FFFF0000"/>
              <x14:negativeBorderColor rgb="FFFF0000"/>
              <x14:axisColor rgb="FF000000"/>
            </x14:dataBar>
          </x14:cfRule>
          <xm:sqref>G18</xm:sqref>
        </x14:conditionalFormatting>
        <x14:conditionalFormatting xmlns:xm="http://schemas.microsoft.com/office/excel/2006/main">
          <x14:cfRule type="dataBar" id="{C471129A-40DB-40C2-BE09-1433F020B5B9}">
            <x14:dataBar minLength="0" maxLength="100" border="1" negativeBarBorderColorSameAsPositive="0">
              <x14:cfvo type="autoMin"/>
              <x14:cfvo type="autoMax"/>
              <x14:borderColor rgb="FF638EC6"/>
              <x14:negativeFillColor rgb="FFFF0000"/>
              <x14:negativeBorderColor rgb="FFFF0000"/>
              <x14:axisColor rgb="FF000000"/>
            </x14:dataBar>
          </x14:cfRule>
          <xm:sqref>J17</xm:sqref>
        </x14:conditionalFormatting>
        <x14:conditionalFormatting xmlns:xm="http://schemas.microsoft.com/office/excel/2006/main">
          <x14:cfRule type="dataBar" id="{0C5B0E66-E153-4AC1-945E-5204EB267BED}">
            <x14:dataBar minLength="0" maxLength="100" border="1" negativeBarBorderColorSameAsPositive="0">
              <x14:cfvo type="autoMin"/>
              <x14:cfvo type="autoMax"/>
              <x14:borderColor rgb="FF638EC6"/>
              <x14:negativeFillColor rgb="FFFF0000"/>
              <x14:negativeBorderColor rgb="FFFF0000"/>
              <x14:axisColor rgb="FF000000"/>
            </x14:dataBar>
          </x14:cfRule>
          <xm:sqref>J18</xm:sqref>
        </x14:conditionalFormatting>
      </x14:conditionalFormatting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5829-7614-4D50-80EA-7A43FFF8033C}">
  <dimension ref="A1:CF1302"/>
  <sheetViews>
    <sheetView zoomScale="91" zoomScaleNormal="91" workbookViewId="0">
      <selection activeCell="AA22" sqref="AA22"/>
    </sheetView>
  </sheetViews>
  <sheetFormatPr defaultColWidth="9.140625" defaultRowHeight="42" customHeight="1"/>
  <cols>
    <col min="1" max="1" width="17" style="285" customWidth="1"/>
    <col min="2" max="2" width="28.42578125" style="84" customWidth="1"/>
    <col min="3" max="3" width="4.28515625" style="84" customWidth="1"/>
    <col min="4" max="4" width="8.42578125" style="84" customWidth="1"/>
    <col min="5" max="6" width="10.7109375" style="86" hidden="1" customWidth="1"/>
    <col min="7" max="7" width="12.85546875" style="84" hidden="1" customWidth="1"/>
    <col min="8" max="9" width="16.28515625" style="84" hidden="1" customWidth="1"/>
    <col min="10" max="10" width="16.28515625" style="91" hidden="1" customWidth="1"/>
    <col min="11" max="11" width="16.28515625" style="84" customWidth="1"/>
    <col min="12" max="13" width="15.28515625" style="84" customWidth="1"/>
    <col min="14" max="14" width="13.85546875" style="84" customWidth="1"/>
    <col min="15" max="15" width="72" style="84" customWidth="1"/>
    <col min="16" max="16" width="12.28515625" style="84" customWidth="1"/>
    <col min="17" max="17" width="30.5703125" style="84" customWidth="1"/>
    <col min="18" max="18" width="6.28515625" style="206" hidden="1" customWidth="1"/>
    <col min="19" max="21" width="6.28515625" style="206" customWidth="1"/>
    <col min="22" max="22" width="31.28515625" style="84" customWidth="1"/>
    <col min="23" max="23" width="35.28515625" style="84" hidden="1" customWidth="1"/>
    <col min="24" max="24" width="9.140625" style="84"/>
    <col min="25" max="26" width="8.85546875" customWidth="1"/>
    <col min="27" max="16384" width="9.140625" style="84"/>
  </cols>
  <sheetData>
    <row r="1" spans="1:26" ht="18.75" customHeight="1">
      <c r="A1" s="2804" t="s">
        <v>2262</v>
      </c>
      <c r="B1" s="2804"/>
      <c r="C1" s="2804"/>
      <c r="D1" s="2804"/>
      <c r="E1" s="2804"/>
      <c r="F1" s="2804"/>
      <c r="G1" s="2804"/>
      <c r="H1" s="2804"/>
      <c r="I1" s="444"/>
      <c r="J1" s="598"/>
      <c r="K1" s="83"/>
      <c r="L1" s="83"/>
      <c r="M1" s="83"/>
      <c r="N1" s="83"/>
      <c r="O1" s="83"/>
      <c r="R1" s="2821"/>
      <c r="S1" s="2821"/>
      <c r="T1" s="2821"/>
      <c r="U1" s="2821"/>
      <c r="V1" s="2821"/>
      <c r="Y1" s="84"/>
      <c r="Z1" s="84"/>
    </row>
    <row r="2" spans="1:26" ht="43.5" customHeight="1">
      <c r="A2" s="3542" t="s">
        <v>2870</v>
      </c>
      <c r="B2" s="3543"/>
      <c r="C2" s="3543"/>
      <c r="D2" s="3543"/>
      <c r="E2" s="3543"/>
      <c r="F2" s="3543"/>
      <c r="G2" s="3543"/>
      <c r="H2" s="3543"/>
      <c r="I2" s="3543"/>
      <c r="J2" s="3543"/>
      <c r="K2" s="3543"/>
      <c r="L2" s="3543"/>
      <c r="M2" s="3543"/>
      <c r="N2" s="3543"/>
      <c r="O2" s="3543"/>
      <c r="P2" s="3543"/>
      <c r="Q2" s="3543"/>
      <c r="R2" s="3543"/>
      <c r="S2" s="3543"/>
      <c r="T2" s="3543"/>
      <c r="U2" s="3543"/>
      <c r="V2" s="3543"/>
      <c r="Y2" s="84"/>
      <c r="Z2" s="84"/>
    </row>
    <row r="3" spans="1:26" ht="19.5" customHeight="1">
      <c r="A3" s="160"/>
      <c r="B3" s="155"/>
      <c r="C3" s="155"/>
      <c r="D3" s="155"/>
      <c r="E3" s="155"/>
      <c r="F3" s="155"/>
      <c r="G3" s="155"/>
      <c r="H3" s="155"/>
      <c r="I3" s="155"/>
      <c r="J3" s="599"/>
      <c r="K3" s="155"/>
      <c r="L3" s="155"/>
      <c r="M3" s="155"/>
      <c r="N3" s="155"/>
      <c r="O3" s="155"/>
      <c r="P3" s="155"/>
      <c r="Q3" s="155"/>
      <c r="R3" s="125"/>
      <c r="S3" s="125"/>
      <c r="T3" s="125"/>
      <c r="U3" s="125"/>
      <c r="V3" s="155"/>
      <c r="Y3" s="84"/>
      <c r="Z3" s="84"/>
    </row>
    <row r="4" spans="1:26" ht="21" customHeight="1">
      <c r="A4" s="445" t="str">
        <f>A24</f>
        <v>10.01.01 (T)</v>
      </c>
      <c r="B4" s="89" t="str">
        <f>B24</f>
        <v xml:space="preserve">Gerinti keleivių vežimo sąlygas bei skatinti darnesnį ir patogesnį judėjimą </v>
      </c>
      <c r="C4" s="89"/>
      <c r="D4" s="89"/>
      <c r="E4" s="89"/>
      <c r="F4" s="89"/>
      <c r="G4" s="89"/>
      <c r="H4" s="89"/>
      <c r="I4" s="89"/>
      <c r="J4" s="570"/>
      <c r="K4" s="89"/>
      <c r="L4" s="89"/>
      <c r="M4" s="89"/>
      <c r="N4" s="89"/>
      <c r="O4" s="2781"/>
      <c r="P4" s="2781"/>
      <c r="Q4" s="2781"/>
      <c r="R4" s="2781"/>
      <c r="S4" s="2781"/>
      <c r="T4" s="2781"/>
      <c r="U4" s="2781"/>
      <c r="V4" s="2781"/>
      <c r="Y4" s="84"/>
      <c r="Z4" s="84"/>
    </row>
    <row r="5" spans="1:26" ht="15.75" customHeight="1">
      <c r="A5" s="445" t="str">
        <f>A45</f>
        <v>10.01.02.(T)</v>
      </c>
      <c r="B5" s="3544" t="str">
        <f>B45</f>
        <v>Skatinti bemotorio transporto pasirinkimą ir pėsčiųjų judumą</v>
      </c>
      <c r="C5" s="3544"/>
      <c r="D5" s="3544"/>
      <c r="E5" s="3544"/>
      <c r="F5" s="3544"/>
      <c r="G5" s="3544"/>
      <c r="H5" s="3544"/>
      <c r="I5" s="3544"/>
      <c r="J5" s="3544"/>
      <c r="K5" s="3544"/>
      <c r="L5" s="3544"/>
      <c r="M5" s="3544"/>
      <c r="N5" s="3544"/>
      <c r="Y5" s="84"/>
      <c r="Z5" s="84"/>
    </row>
    <row r="6" spans="1:26" ht="13.5" customHeight="1">
      <c r="A6" s="445" t="str">
        <f>A91</f>
        <v>10.02.03.(T)</v>
      </c>
      <c r="B6" s="3544" t="str">
        <f>B91</f>
        <v>Atnaujinti (rekonstruoti) Visagino viešuosius, ūkinius pastatus</v>
      </c>
      <c r="C6" s="3544"/>
      <c r="D6" s="3544"/>
      <c r="E6" s="3544"/>
      <c r="F6" s="3544"/>
      <c r="G6" s="3544"/>
      <c r="H6" s="3544"/>
      <c r="I6" s="3544"/>
      <c r="J6" s="3544"/>
      <c r="K6" s="3544"/>
      <c r="L6" s="3544"/>
      <c r="M6" s="3544"/>
      <c r="N6" s="3544"/>
      <c r="Y6" s="84"/>
      <c r="Z6" s="84"/>
    </row>
    <row r="7" spans="1:26" ht="15.75" customHeight="1">
      <c r="A7" s="445" t="str">
        <f>A125</f>
        <v>10.02.04.(T)</v>
      </c>
      <c r="B7" s="89" t="str">
        <f>B125</f>
        <v>Renovuoti ir įrengti automobilių stovėjimo, dviračių ir pėsčiųjų takus, sporto ir laisvalaikio aikšteles</v>
      </c>
      <c r="C7" s="89"/>
      <c r="D7" s="89"/>
      <c r="E7" s="89"/>
      <c r="F7" s="89"/>
      <c r="G7" s="89"/>
      <c r="H7" s="89"/>
      <c r="I7" s="89"/>
      <c r="J7" s="570"/>
      <c r="K7" s="89"/>
      <c r="L7" s="89"/>
      <c r="M7" s="89"/>
      <c r="N7" s="89"/>
      <c r="O7" s="2781"/>
      <c r="P7" s="2781"/>
      <c r="Q7" s="2781"/>
      <c r="Y7" s="84"/>
      <c r="Z7" s="84"/>
    </row>
    <row r="8" spans="1:26" ht="13.5" customHeight="1">
      <c r="A8" s="445" t="str">
        <f>A166</f>
        <v>10.02.05.(T)</v>
      </c>
      <c r="B8" s="89" t="str">
        <f>B166</f>
        <v>Remontuoti ir prižiūrėti savivaldybės turtą</v>
      </c>
      <c r="C8" s="89"/>
      <c r="D8" s="89"/>
      <c r="E8" s="89"/>
      <c r="F8" s="89"/>
      <c r="G8" s="89"/>
      <c r="H8" s="89"/>
      <c r="I8" s="89"/>
      <c r="J8" s="570"/>
      <c r="K8" s="89"/>
      <c r="L8" s="89"/>
      <c r="M8" s="89"/>
      <c r="N8" s="89"/>
      <c r="Y8" s="84"/>
      <c r="Z8" s="84"/>
    </row>
    <row r="9" spans="1:26" ht="13.5" customHeight="1">
      <c r="A9" s="445" t="str">
        <f>A196</f>
        <v>10.02.06. (T)</v>
      </c>
      <c r="B9" s="89" t="str">
        <f>B196</f>
        <v>Vykdyti Visagino savivaldybės daugiabučių namų atnaujinimo (modernizavimo) programą</v>
      </c>
      <c r="C9" s="89"/>
      <c r="D9" s="89"/>
      <c r="E9" s="89"/>
      <c r="F9" s="89"/>
      <c r="G9" s="89"/>
      <c r="H9" s="89"/>
      <c r="I9" s="89"/>
      <c r="J9" s="570"/>
      <c r="K9" s="89"/>
      <c r="L9" s="89"/>
      <c r="M9" s="89"/>
      <c r="N9" s="89"/>
      <c r="Y9" s="84"/>
      <c r="Z9" s="84"/>
    </row>
    <row r="10" spans="1:26" ht="12.75" customHeight="1">
      <c r="A10" s="445" t="str">
        <f>A199</f>
        <v>10.02.07. (T)</v>
      </c>
      <c r="B10" s="3544" t="str">
        <f>B199</f>
        <v>Įgyvendinti savivaldybės infrastruktūros plėtros įstatymo nuostatas</v>
      </c>
      <c r="C10" s="3544"/>
      <c r="D10" s="3544"/>
      <c r="E10" s="3544"/>
      <c r="F10" s="3544"/>
      <c r="G10" s="3544"/>
      <c r="H10" s="3544"/>
      <c r="I10" s="3544"/>
      <c r="J10" s="3544"/>
      <c r="K10" s="3544"/>
      <c r="L10" s="3544"/>
      <c r="M10" s="3544"/>
      <c r="N10" s="3544"/>
      <c r="Y10" s="84"/>
      <c r="Z10" s="84"/>
    </row>
    <row r="11" spans="1:26" ht="15" customHeight="1">
      <c r="A11" s="445" t="str">
        <f>A206</f>
        <v>10.03.01. (T)</v>
      </c>
      <c r="B11" s="3544" t="str">
        <f>B206</f>
        <v>Tvarkyti gyvenamąją aplinką, administruoti gatvių apšvietimo paslaugas</v>
      </c>
      <c r="C11" s="3544"/>
      <c r="D11" s="3544"/>
      <c r="E11" s="3544"/>
      <c r="F11" s="3544"/>
      <c r="G11" s="3544"/>
      <c r="H11" s="3544"/>
      <c r="I11" s="3544"/>
      <c r="J11" s="3544"/>
      <c r="K11" s="3544"/>
      <c r="L11" s="3544"/>
      <c r="M11" s="3544"/>
      <c r="N11" s="3544"/>
      <c r="Y11" s="84"/>
      <c r="Z11" s="84"/>
    </row>
    <row r="12" spans="1:26" ht="11.25" customHeight="1">
      <c r="A12" s="445" t="str">
        <f>A232</f>
        <v>10.03.02. (T)</v>
      </c>
      <c r="B12" s="3544" t="str">
        <f>B232</f>
        <v>Vykdyti kapinių priežiūros darbus</v>
      </c>
      <c r="C12" s="3544"/>
      <c r="D12" s="3544"/>
      <c r="E12" s="3544"/>
      <c r="F12" s="3544"/>
      <c r="G12" s="3544"/>
      <c r="H12" s="3544"/>
      <c r="I12" s="3544"/>
      <c r="J12" s="3544"/>
      <c r="K12" s="3544"/>
      <c r="L12" s="3544"/>
      <c r="M12" s="3544"/>
      <c r="N12" s="3544"/>
      <c r="Y12" s="84"/>
      <c r="Z12" s="84"/>
    </row>
    <row r="13" spans="1:26" ht="16.5" customHeight="1">
      <c r="A13" s="445" t="str">
        <f>A241</f>
        <v>10.03.03. (T)</v>
      </c>
      <c r="B13" s="3544" t="str">
        <f>B241</f>
        <v>Tvarkyti savivaldybės kaimiškųjų vietovių infrastruktūrą</v>
      </c>
      <c r="C13" s="3544"/>
      <c r="D13" s="3544"/>
      <c r="E13" s="3544"/>
      <c r="F13" s="3544"/>
      <c r="G13" s="3544"/>
      <c r="H13" s="3544"/>
      <c r="I13" s="3544"/>
      <c r="J13" s="3544"/>
      <c r="K13" s="3544"/>
      <c r="L13" s="3544"/>
      <c r="M13" s="3544"/>
      <c r="N13" s="3544"/>
      <c r="Y13" s="84"/>
      <c r="Z13" s="84"/>
    </row>
    <row r="14" spans="1:26" ht="11.25" customHeight="1">
      <c r="A14" s="445" t="str">
        <f>A244</f>
        <v>10.03.04.(T)</v>
      </c>
      <c r="B14" s="89" t="str">
        <f>B244</f>
        <v>Tvarkyti (likviduoti) turtą, 
Visagino savivaldybės tarybos  pripažintą netinkamu naudoti dėl fizinio ir funkcinio (technologinio) nusidėvėjimo</v>
      </c>
      <c r="C14" s="89"/>
      <c r="D14" s="89"/>
      <c r="E14" s="89"/>
      <c r="F14" s="89"/>
      <c r="G14" s="89"/>
      <c r="H14" s="89"/>
      <c r="I14" s="89"/>
      <c r="J14" s="570"/>
      <c r="K14" s="89"/>
      <c r="L14" s="89"/>
      <c r="M14" s="89"/>
      <c r="N14" s="89"/>
      <c r="Y14" s="84"/>
      <c r="Z14" s="84"/>
    </row>
    <row r="15" spans="1:26" ht="12.75" customHeight="1">
      <c r="A15" s="445" t="str">
        <f>A247</f>
        <v>10.03.05. (T)</v>
      </c>
      <c r="B15" s="89" t="str">
        <f>B247</f>
        <v xml:space="preserve"> Plėsti, prižiūrėti ir modernizuoti teritorijas, įrengiant reikalingą infrastrukūrą</v>
      </c>
      <c r="C15" s="89"/>
      <c r="D15" s="89"/>
      <c r="E15" s="89"/>
      <c r="F15" s="89"/>
      <c r="G15" s="89"/>
      <c r="H15" s="89"/>
      <c r="I15" s="89"/>
      <c r="J15" s="570"/>
      <c r="K15" s="89"/>
      <c r="L15" s="89"/>
      <c r="M15" s="89"/>
      <c r="N15" s="89"/>
      <c r="Y15" s="84"/>
      <c r="Z15" s="84"/>
    </row>
    <row r="16" spans="1:26" ht="14.25" customHeight="1">
      <c r="A16" s="445" t="s">
        <v>3511</v>
      </c>
      <c r="B16" s="89" t="s">
        <v>3512</v>
      </c>
      <c r="C16" s="89"/>
      <c r="D16" s="89"/>
      <c r="E16" s="89"/>
      <c r="F16" s="89"/>
      <c r="G16" s="89"/>
      <c r="H16" s="89"/>
      <c r="I16" s="89"/>
      <c r="J16" s="570"/>
      <c r="K16" s="89"/>
      <c r="L16" s="89"/>
      <c r="M16" s="89"/>
      <c r="N16" s="89"/>
      <c r="Y16" s="84"/>
      <c r="Z16" s="84"/>
    </row>
    <row r="17" spans="1:26" ht="16.5" customHeight="1">
      <c r="A17" s="155"/>
      <c r="B17" s="87"/>
      <c r="C17" s="87"/>
      <c r="D17" s="87"/>
      <c r="E17" s="87"/>
      <c r="F17" s="87"/>
      <c r="G17" s="87"/>
      <c r="H17" s="87"/>
      <c r="I17" s="87"/>
      <c r="J17" s="460"/>
      <c r="K17" s="87"/>
      <c r="L17" s="87"/>
      <c r="M17" s="87"/>
      <c r="N17" s="87"/>
      <c r="Y17" s="84"/>
      <c r="Z17" s="84"/>
    </row>
    <row r="18" spans="1:26" ht="21" customHeight="1">
      <c r="A18" s="2781" t="s">
        <v>3098</v>
      </c>
      <c r="B18" s="2781"/>
      <c r="C18" s="2781"/>
      <c r="D18" s="2781"/>
      <c r="E18" s="2781"/>
      <c r="F18" s="112"/>
      <c r="G18" s="112"/>
      <c r="H18" s="99"/>
      <c r="I18" s="99"/>
      <c r="J18" s="600"/>
      <c r="K18" s="83"/>
      <c r="L18" s="83"/>
      <c r="M18" s="83"/>
      <c r="N18" s="83"/>
      <c r="O18" s="83"/>
      <c r="R18" s="207"/>
      <c r="S18" s="207"/>
      <c r="T18" s="207"/>
      <c r="U18" s="207"/>
      <c r="V18" s="82"/>
      <c r="Y18" s="84"/>
      <c r="Z18" s="84"/>
    </row>
    <row r="19" spans="1:26" ht="51.75" customHeight="1">
      <c r="A19" s="2781" t="s">
        <v>4248</v>
      </c>
      <c r="B19" s="2781"/>
      <c r="C19" s="2781"/>
      <c r="D19" s="2781"/>
      <c r="E19" s="2781"/>
      <c r="F19" s="2781"/>
      <c r="G19" s="2781"/>
      <c r="H19" s="2781"/>
      <c r="I19" s="2781"/>
      <c r="J19" s="2781"/>
      <c r="K19" s="2781"/>
      <c r="L19" s="2781"/>
      <c r="M19" s="2781"/>
      <c r="N19" s="2781"/>
      <c r="O19" s="2781"/>
      <c r="P19" s="2781"/>
      <c r="Q19" s="2781"/>
      <c r="R19" s="2781"/>
      <c r="S19" s="2781"/>
      <c r="T19" s="2781"/>
      <c r="U19" s="2781"/>
      <c r="V19" s="2781"/>
      <c r="Y19" s="84"/>
      <c r="Z19" s="84"/>
    </row>
    <row r="20" spans="1:26" ht="18.75" customHeight="1">
      <c r="A20" s="112"/>
      <c r="B20" s="112"/>
      <c r="C20" s="112"/>
      <c r="D20" s="112"/>
      <c r="E20" s="112"/>
      <c r="F20" s="112"/>
      <c r="G20" s="112"/>
      <c r="H20" s="82"/>
      <c r="I20" s="82"/>
      <c r="J20" s="571"/>
      <c r="K20" s="83"/>
      <c r="L20" s="83"/>
      <c r="M20" s="83"/>
      <c r="N20" s="83"/>
      <c r="O20" s="83"/>
      <c r="R20" s="207"/>
      <c r="S20" s="207"/>
      <c r="T20" s="207"/>
      <c r="U20" s="207"/>
      <c r="V20" s="82"/>
      <c r="Y20" s="84"/>
      <c r="Z20" s="84"/>
    </row>
    <row r="21" spans="1:26" ht="15" customHeight="1">
      <c r="A21" s="2827" t="s">
        <v>4189</v>
      </c>
      <c r="B21" s="2827"/>
      <c r="C21" s="2827"/>
      <c r="D21" s="2827"/>
      <c r="E21" s="2827"/>
      <c r="F21" s="2827"/>
      <c r="G21" s="2827"/>
      <c r="H21" s="2827"/>
      <c r="I21" s="2827"/>
      <c r="J21" s="2827"/>
      <c r="K21" s="2827"/>
      <c r="L21" s="2827"/>
      <c r="M21" s="2827"/>
      <c r="N21" s="2827"/>
      <c r="O21" s="2827"/>
      <c r="P21" s="2827"/>
      <c r="Q21" s="2827"/>
      <c r="R21" s="2827"/>
      <c r="S21" s="2827"/>
      <c r="T21" s="2827"/>
      <c r="U21" s="2827"/>
      <c r="V21" s="2827"/>
      <c r="Y21" s="84"/>
      <c r="Z21" s="84"/>
    </row>
    <row r="22" spans="1:26" s="206" customFormat="1" ht="86.25" customHeight="1">
      <c r="A22" s="2684" t="s">
        <v>730</v>
      </c>
      <c r="B22" s="3540" t="s">
        <v>2013</v>
      </c>
      <c r="C22" s="3547" t="s">
        <v>1072</v>
      </c>
      <c r="D22" s="3549" t="s">
        <v>1073</v>
      </c>
      <c r="E22" s="2445" t="s">
        <v>1091</v>
      </c>
      <c r="F22" s="2445" t="s">
        <v>1186</v>
      </c>
      <c r="G22" s="3545" t="s">
        <v>1088</v>
      </c>
      <c r="H22" s="2489" t="s">
        <v>1089</v>
      </c>
      <c r="I22" s="2445" t="s">
        <v>3099</v>
      </c>
      <c r="J22" s="2445" t="s">
        <v>3100</v>
      </c>
      <c r="K22" s="2359" t="s">
        <v>1074</v>
      </c>
      <c r="L22" s="2481" t="s">
        <v>1090</v>
      </c>
      <c r="M22" s="2359" t="s">
        <v>3097</v>
      </c>
      <c r="N22" s="2489" t="s">
        <v>2052</v>
      </c>
      <c r="O22" s="3320" t="s">
        <v>2921</v>
      </c>
      <c r="P22" s="2361" t="s">
        <v>731</v>
      </c>
      <c r="Q22" s="2361" t="s">
        <v>1093</v>
      </c>
      <c r="R22" s="2351" t="s">
        <v>732</v>
      </c>
      <c r="S22" s="2352"/>
      <c r="T22" s="2352"/>
      <c r="U22" s="2353"/>
      <c r="V22" s="2536" t="s">
        <v>733</v>
      </c>
    </row>
    <row r="23" spans="1:26" s="206" customFormat="1" ht="30.75" customHeight="1">
      <c r="A23" s="2685"/>
      <c r="B23" s="3541"/>
      <c r="C23" s="3548"/>
      <c r="D23" s="3550"/>
      <c r="E23" s="2802"/>
      <c r="F23" s="2446"/>
      <c r="G23" s="2625"/>
      <c r="H23" s="2359"/>
      <c r="I23" s="2446"/>
      <c r="J23" s="2446"/>
      <c r="K23" s="2610"/>
      <c r="L23" s="3546"/>
      <c r="M23" s="2360"/>
      <c r="N23" s="2489"/>
      <c r="O23" s="2853"/>
      <c r="P23" s="2362"/>
      <c r="Q23" s="2362"/>
      <c r="R23" s="209">
        <v>2024</v>
      </c>
      <c r="S23" s="209">
        <v>2025</v>
      </c>
      <c r="T23" s="209">
        <v>2026</v>
      </c>
      <c r="U23" s="455">
        <v>2027</v>
      </c>
      <c r="V23" s="2536"/>
    </row>
    <row r="24" spans="1:26" ht="63" customHeight="1">
      <c r="A24" s="1017" t="s">
        <v>2214</v>
      </c>
      <c r="B24" s="954" t="s">
        <v>2603</v>
      </c>
      <c r="C24" s="1017"/>
      <c r="D24" s="1017"/>
      <c r="E24" s="1094">
        <f>SUM(E26,E35,E39,E44)</f>
        <v>516.6</v>
      </c>
      <c r="F24" s="1368">
        <f>H24/E24-1</f>
        <v>3.2520325203251321E-3</v>
      </c>
      <c r="G24" s="2042">
        <f>SUM(G26,G35,G39,G44)</f>
        <v>509.67999999999995</v>
      </c>
      <c r="H24" s="1095">
        <f>SUM(H26,H35,H39,H44)</f>
        <v>518.28</v>
      </c>
      <c r="I24" s="1096">
        <f>J24/H24-1</f>
        <v>0.1892799259087754</v>
      </c>
      <c r="J24" s="1094">
        <f>SUM(J26,J35,J39,J44)</f>
        <v>616.38000000000011</v>
      </c>
      <c r="K24" s="1095">
        <f>SUM(K26,K35,K39,K44)</f>
        <v>804.37999999999988</v>
      </c>
      <c r="L24" s="1095">
        <f>SUM(L26,L35,L39,L44)</f>
        <v>686.54099999999994</v>
      </c>
      <c r="M24" s="1095">
        <f>SUM(M26,M35,M39,M44)</f>
        <v>702.3599999999999</v>
      </c>
      <c r="N24" s="1457" t="s">
        <v>2374</v>
      </c>
      <c r="O24" s="1017"/>
      <c r="P24" s="970" t="s">
        <v>1679</v>
      </c>
      <c r="Q24" s="970" t="s">
        <v>2451</v>
      </c>
      <c r="R24" s="970" t="s">
        <v>2452</v>
      </c>
      <c r="S24" s="970" t="s">
        <v>2453</v>
      </c>
      <c r="T24" s="970" t="s">
        <v>2453</v>
      </c>
      <c r="U24" s="970" t="s">
        <v>2453</v>
      </c>
      <c r="V24" s="970" t="s">
        <v>2451</v>
      </c>
      <c r="Y24" s="84"/>
      <c r="Z24" s="84"/>
    </row>
    <row r="25" spans="1:26" ht="46.5" customHeight="1">
      <c r="A25" s="2739" t="s">
        <v>2210</v>
      </c>
      <c r="B25" s="3466" t="s">
        <v>3801</v>
      </c>
      <c r="C25" s="2466" t="s">
        <v>1080</v>
      </c>
      <c r="D25" s="1050" t="s">
        <v>471</v>
      </c>
      <c r="E25" s="1051">
        <v>184</v>
      </c>
      <c r="F25" s="1424">
        <f t="shared" ref="F25:F51" si="0">H25/E25-1</f>
        <v>3.2608695652173836E-2</v>
      </c>
      <c r="G25" s="1051">
        <v>204</v>
      </c>
      <c r="H25" s="1053">
        <v>190</v>
      </c>
      <c r="I25" s="1604">
        <f t="shared" ref="I25:I97" si="1">J25/H25-1</f>
        <v>0.43684210526315792</v>
      </c>
      <c r="J25" s="1051">
        <f>SUM(J27,J28,J29,J30,J31)</f>
        <v>273</v>
      </c>
      <c r="K25" s="1053">
        <f>SUM(K27,K28,K29,K30,K31,K32,K33)</f>
        <v>350</v>
      </c>
      <c r="L25" s="1053">
        <f t="shared" ref="L25:M25" si="2">SUM(L27,L28,L29,L30,L31,L32,L33)</f>
        <v>323</v>
      </c>
      <c r="M25" s="1053">
        <f t="shared" si="2"/>
        <v>323</v>
      </c>
      <c r="N25" s="2998" t="s">
        <v>2375</v>
      </c>
      <c r="O25" s="2824" t="s">
        <v>4249</v>
      </c>
      <c r="P25" s="2344" t="s">
        <v>1680</v>
      </c>
      <c r="Q25" s="947" t="s">
        <v>4020</v>
      </c>
      <c r="R25" s="2617" t="s">
        <v>1463</v>
      </c>
      <c r="S25" s="947" t="s">
        <v>1463</v>
      </c>
      <c r="T25" s="947" t="s">
        <v>1463</v>
      </c>
      <c r="U25" s="947" t="s">
        <v>1463</v>
      </c>
      <c r="V25" s="947" t="s">
        <v>2576</v>
      </c>
      <c r="Y25" s="84"/>
      <c r="Z25" s="84"/>
    </row>
    <row r="26" spans="1:26" ht="56.25" customHeight="1">
      <c r="A26" s="2739"/>
      <c r="B26" s="3466"/>
      <c r="C26" s="2466"/>
      <c r="D26" s="1056" t="s">
        <v>1076</v>
      </c>
      <c r="E26" s="1057">
        <f>E25</f>
        <v>184</v>
      </c>
      <c r="F26" s="1407">
        <f t="shared" si="0"/>
        <v>3.2608695652173836E-2</v>
      </c>
      <c r="G26" s="1057">
        <f t="shared" ref="G26:M26" si="3">G25</f>
        <v>204</v>
      </c>
      <c r="H26" s="1059">
        <f t="shared" si="3"/>
        <v>190</v>
      </c>
      <c r="I26" s="1060">
        <f t="shared" si="1"/>
        <v>0.43684210526315792</v>
      </c>
      <c r="J26" s="1057">
        <f t="shared" si="3"/>
        <v>273</v>
      </c>
      <c r="K26" s="1059">
        <f t="shared" si="3"/>
        <v>350</v>
      </c>
      <c r="L26" s="1059">
        <f t="shared" si="3"/>
        <v>323</v>
      </c>
      <c r="M26" s="1059">
        <f t="shared" si="3"/>
        <v>323</v>
      </c>
      <c r="N26" s="2999"/>
      <c r="O26" s="2341"/>
      <c r="P26" s="2342"/>
      <c r="Q26" s="947" t="s">
        <v>3936</v>
      </c>
      <c r="R26" s="2617"/>
      <c r="S26" s="947" t="s">
        <v>308</v>
      </c>
      <c r="T26" s="947" t="s">
        <v>1476</v>
      </c>
      <c r="U26" s="947" t="s">
        <v>3104</v>
      </c>
      <c r="V26" s="947"/>
      <c r="Y26" s="84"/>
      <c r="Z26" s="84"/>
    </row>
    <row r="27" spans="1:26" ht="103.5" hidden="1" customHeight="1">
      <c r="A27" s="1370" t="s">
        <v>3285</v>
      </c>
      <c r="B27" s="1011" t="s">
        <v>3403</v>
      </c>
      <c r="C27" s="1365"/>
      <c r="D27" s="1022"/>
      <c r="E27" s="1120"/>
      <c r="F27" s="2010"/>
      <c r="G27" s="1120"/>
      <c r="H27" s="1075"/>
      <c r="I27" s="1126"/>
      <c r="J27" s="1068">
        <v>50</v>
      </c>
      <c r="K27" s="3551">
        <v>210</v>
      </c>
      <c r="L27" s="3021">
        <v>210</v>
      </c>
      <c r="M27" s="3021">
        <v>210</v>
      </c>
      <c r="N27" s="2999"/>
      <c r="O27" s="964" t="s">
        <v>3407</v>
      </c>
      <c r="P27" s="1032"/>
      <c r="Q27" s="996"/>
      <c r="R27" s="2617"/>
      <c r="S27" s="955"/>
      <c r="T27" s="955"/>
      <c r="U27" s="955"/>
      <c r="V27" s="996"/>
      <c r="Y27" s="84"/>
      <c r="Z27" s="84"/>
    </row>
    <row r="28" spans="1:26" ht="72.75" hidden="1" customHeight="1">
      <c r="A28" s="1370" t="s">
        <v>3285</v>
      </c>
      <c r="B28" s="1011" t="s">
        <v>3404</v>
      </c>
      <c r="C28" s="1365"/>
      <c r="D28" s="1022"/>
      <c r="E28" s="1120"/>
      <c r="F28" s="2010"/>
      <c r="G28" s="1120"/>
      <c r="H28" s="1075"/>
      <c r="I28" s="1126"/>
      <c r="J28" s="1068">
        <v>18</v>
      </c>
      <c r="K28" s="3551"/>
      <c r="L28" s="3021"/>
      <c r="M28" s="3021"/>
      <c r="N28" s="2999"/>
      <c r="O28" s="964" t="s">
        <v>3408</v>
      </c>
      <c r="P28" s="1032"/>
      <c r="Q28" s="996"/>
      <c r="R28" s="2617"/>
      <c r="S28" s="955"/>
      <c r="T28" s="955"/>
      <c r="U28" s="955"/>
      <c r="V28" s="996"/>
      <c r="Y28" s="84"/>
      <c r="Z28" s="84"/>
    </row>
    <row r="29" spans="1:26" ht="79.5" hidden="1" customHeight="1">
      <c r="A29" s="1370" t="s">
        <v>3285</v>
      </c>
      <c r="B29" s="1011" t="s">
        <v>3405</v>
      </c>
      <c r="C29" s="1365"/>
      <c r="D29" s="1022"/>
      <c r="E29" s="1120"/>
      <c r="F29" s="2010"/>
      <c r="G29" s="1120"/>
      <c r="H29" s="1075"/>
      <c r="I29" s="1126"/>
      <c r="J29" s="1068">
        <v>100</v>
      </c>
      <c r="K29" s="3551"/>
      <c r="L29" s="3021"/>
      <c r="M29" s="3021"/>
      <c r="N29" s="2999"/>
      <c r="O29" s="964" t="s">
        <v>3409</v>
      </c>
      <c r="P29" s="1032"/>
      <c r="Q29" s="996"/>
      <c r="R29" s="2617"/>
      <c r="S29" s="955"/>
      <c r="T29" s="955"/>
      <c r="U29" s="955"/>
      <c r="V29" s="996"/>
      <c r="Y29" s="84"/>
      <c r="Z29" s="84"/>
    </row>
    <row r="30" spans="1:26" ht="129.75" hidden="1" customHeight="1">
      <c r="A30" s="1370" t="s">
        <v>3285</v>
      </c>
      <c r="B30" s="1011" t="s">
        <v>3406</v>
      </c>
      <c r="C30" s="1365"/>
      <c r="D30" s="1022"/>
      <c r="E30" s="1120"/>
      <c r="F30" s="2010"/>
      <c r="G30" s="1120"/>
      <c r="H30" s="1075"/>
      <c r="I30" s="1126"/>
      <c r="J30" s="1068">
        <v>45</v>
      </c>
      <c r="K30" s="3551"/>
      <c r="L30" s="3021"/>
      <c r="M30" s="3021"/>
      <c r="N30" s="2999"/>
      <c r="O30" s="964" t="s">
        <v>3410</v>
      </c>
      <c r="P30" s="1032"/>
      <c r="Q30" s="996"/>
      <c r="R30" s="2617"/>
      <c r="S30" s="955"/>
      <c r="T30" s="955"/>
      <c r="U30" s="955"/>
      <c r="V30" s="996"/>
      <c r="Y30" s="84"/>
      <c r="Z30" s="84"/>
    </row>
    <row r="31" spans="1:26" ht="52.15" hidden="1" customHeight="1">
      <c r="A31" s="1370" t="s">
        <v>3285</v>
      </c>
      <c r="B31" s="1011" t="s">
        <v>3492</v>
      </c>
      <c r="C31" s="1365"/>
      <c r="D31" s="1022"/>
      <c r="E31" s="1120"/>
      <c r="F31" s="2010"/>
      <c r="G31" s="1120"/>
      <c r="H31" s="1075"/>
      <c r="I31" s="1126"/>
      <c r="J31" s="1068">
        <v>60</v>
      </c>
      <c r="K31" s="1120">
        <v>30</v>
      </c>
      <c r="L31" s="989">
        <v>30</v>
      </c>
      <c r="M31" s="989">
        <v>30</v>
      </c>
      <c r="N31" s="2999"/>
      <c r="O31" s="964" t="s">
        <v>3493</v>
      </c>
      <c r="P31" s="1032"/>
      <c r="Q31" s="996"/>
      <c r="R31" s="2617"/>
      <c r="S31" s="955"/>
      <c r="T31" s="955"/>
      <c r="U31" s="955"/>
      <c r="V31" s="996"/>
      <c r="Y31" s="84"/>
      <c r="Z31" s="84"/>
    </row>
    <row r="32" spans="1:26" ht="52.15" hidden="1" customHeight="1">
      <c r="A32" s="1370" t="s">
        <v>3494</v>
      </c>
      <c r="B32" s="1011" t="s">
        <v>3495</v>
      </c>
      <c r="C32" s="1365"/>
      <c r="D32" s="1022"/>
      <c r="E32" s="1120"/>
      <c r="F32" s="2010"/>
      <c r="G32" s="1120"/>
      <c r="H32" s="1075"/>
      <c r="I32" s="1126"/>
      <c r="J32" s="1068">
        <v>90</v>
      </c>
      <c r="K32" s="1075">
        <v>90</v>
      </c>
      <c r="L32" s="989">
        <v>83</v>
      </c>
      <c r="M32" s="989">
        <v>83</v>
      </c>
      <c r="N32" s="2999"/>
      <c r="O32" s="964" t="s">
        <v>3495</v>
      </c>
      <c r="P32" s="1032"/>
      <c r="Q32" s="996"/>
      <c r="R32" s="2617"/>
      <c r="S32" s="955"/>
      <c r="T32" s="955"/>
      <c r="U32" s="955"/>
      <c r="V32" s="996"/>
      <c r="Y32" s="84"/>
      <c r="Z32" s="84"/>
    </row>
    <row r="33" spans="1:26" ht="26.25" hidden="1" customHeight="1">
      <c r="A33" s="1370" t="s">
        <v>3285</v>
      </c>
      <c r="B33" s="1011" t="s">
        <v>3557</v>
      </c>
      <c r="C33" s="1365"/>
      <c r="D33" s="1022"/>
      <c r="E33" s="1120"/>
      <c r="F33" s="2010"/>
      <c r="G33" s="1120"/>
      <c r="H33" s="1075"/>
      <c r="I33" s="1126"/>
      <c r="J33" s="1068">
        <v>20</v>
      </c>
      <c r="K33" s="1075">
        <v>20</v>
      </c>
      <c r="L33" s="989">
        <v>0</v>
      </c>
      <c r="M33" s="989">
        <v>0</v>
      </c>
      <c r="N33" s="2999"/>
      <c r="O33" s="964"/>
      <c r="P33" s="1032"/>
      <c r="Q33" s="996"/>
      <c r="R33" s="2617"/>
      <c r="S33" s="955"/>
      <c r="T33" s="955"/>
      <c r="U33" s="955"/>
      <c r="V33" s="996"/>
      <c r="Y33" s="84"/>
      <c r="Z33" s="84"/>
    </row>
    <row r="34" spans="1:26" ht="32.450000000000003" customHeight="1">
      <c r="A34" s="2739" t="s">
        <v>2211</v>
      </c>
      <c r="B34" s="2367" t="s">
        <v>1301</v>
      </c>
      <c r="C34" s="2706">
        <v>188711925</v>
      </c>
      <c r="D34" s="1035" t="s">
        <v>471</v>
      </c>
      <c r="E34" s="2043">
        <v>0</v>
      </c>
      <c r="F34" s="1424"/>
      <c r="G34" s="1051">
        <v>5</v>
      </c>
      <c r="H34" s="1053">
        <v>5</v>
      </c>
      <c r="I34" s="1604">
        <f t="shared" si="1"/>
        <v>-0.5</v>
      </c>
      <c r="J34" s="1051">
        <f>SUM(J36)</f>
        <v>2.5</v>
      </c>
      <c r="K34" s="1053">
        <f t="shared" ref="K34" si="4">SUM(K36)</f>
        <v>0</v>
      </c>
      <c r="L34" s="1053">
        <v>0</v>
      </c>
      <c r="M34" s="1053">
        <v>0</v>
      </c>
      <c r="N34" s="2999"/>
      <c r="O34" s="2349" t="s">
        <v>3934</v>
      </c>
      <c r="P34" s="2344" t="s">
        <v>1681</v>
      </c>
      <c r="Q34" s="2343" t="s">
        <v>3935</v>
      </c>
      <c r="R34" s="2617"/>
      <c r="S34" s="2354" t="s">
        <v>434</v>
      </c>
      <c r="T34" s="2343" t="s">
        <v>434</v>
      </c>
      <c r="U34" s="2343" t="s">
        <v>434</v>
      </c>
      <c r="V34" s="2343"/>
      <c r="Y34" s="84"/>
      <c r="Z34" s="84"/>
    </row>
    <row r="35" spans="1:26" ht="32.450000000000003" customHeight="1">
      <c r="A35" s="2739"/>
      <c r="B35" s="2367"/>
      <c r="C35" s="2706"/>
      <c r="D35" s="1056" t="s">
        <v>1076</v>
      </c>
      <c r="E35" s="2044">
        <f>E34</f>
        <v>0</v>
      </c>
      <c r="F35" s="1407"/>
      <c r="G35" s="1057">
        <f t="shared" ref="G35:M35" si="5">G34</f>
        <v>5</v>
      </c>
      <c r="H35" s="1059">
        <f t="shared" si="5"/>
        <v>5</v>
      </c>
      <c r="I35" s="1060">
        <f t="shared" si="1"/>
        <v>-0.5</v>
      </c>
      <c r="J35" s="1057">
        <f t="shared" si="5"/>
        <v>2.5</v>
      </c>
      <c r="K35" s="1059">
        <f t="shared" si="5"/>
        <v>0</v>
      </c>
      <c r="L35" s="1059">
        <f t="shared" si="5"/>
        <v>0</v>
      </c>
      <c r="M35" s="1059">
        <f t="shared" si="5"/>
        <v>0</v>
      </c>
      <c r="N35" s="2999"/>
      <c r="O35" s="2880"/>
      <c r="P35" s="2342"/>
      <c r="Q35" s="2344"/>
      <c r="R35" s="2355"/>
      <c r="S35" s="2355"/>
      <c r="T35" s="2344"/>
      <c r="U35" s="2344"/>
      <c r="V35" s="2344"/>
      <c r="Y35" s="84"/>
      <c r="Z35" s="84"/>
    </row>
    <row r="36" spans="1:26" ht="110.25" hidden="1" customHeight="1">
      <c r="A36" s="1417"/>
      <c r="B36" s="975" t="s">
        <v>3411</v>
      </c>
      <c r="C36" s="1078"/>
      <c r="D36" s="1022"/>
      <c r="E36" s="2045"/>
      <c r="F36" s="2010"/>
      <c r="G36" s="1120"/>
      <c r="H36" s="1075"/>
      <c r="I36" s="1126"/>
      <c r="J36" s="1120">
        <v>2.5</v>
      </c>
      <c r="K36" s="1075"/>
      <c r="L36" s="989"/>
      <c r="M36" s="989"/>
      <c r="N36" s="1075"/>
      <c r="O36" s="1009" t="s">
        <v>3412</v>
      </c>
      <c r="P36" s="950"/>
      <c r="Q36" s="950"/>
      <c r="R36" s="955"/>
      <c r="S36" s="955"/>
      <c r="T36" s="955"/>
      <c r="U36" s="955"/>
      <c r="V36" s="996"/>
      <c r="Y36" s="84"/>
      <c r="Z36" s="84"/>
    </row>
    <row r="37" spans="1:26" ht="31.9" customHeight="1">
      <c r="A37" s="2739" t="s">
        <v>2212</v>
      </c>
      <c r="B37" s="2367" t="s">
        <v>1302</v>
      </c>
      <c r="C37" s="2706" t="s">
        <v>1080</v>
      </c>
      <c r="D37" s="1035" t="s">
        <v>471</v>
      </c>
      <c r="E37" s="1051">
        <f>SUM(E40:E42)</f>
        <v>127.56</v>
      </c>
      <c r="F37" s="1424">
        <f t="shared" si="0"/>
        <v>-0.41988084038883666</v>
      </c>
      <c r="G37" s="1317">
        <f>SUM(G40,G42)</f>
        <v>152.66999999999999</v>
      </c>
      <c r="H37" s="1053">
        <f t="shared" ref="H37" si="6">SUM(H40,H42)</f>
        <v>74</v>
      </c>
      <c r="I37" s="1604">
        <f t="shared" si="1"/>
        <v>1.3321621621621622</v>
      </c>
      <c r="J37" s="1051">
        <f>SUM(J40,J42)</f>
        <v>172.58</v>
      </c>
      <c r="K37" s="1053">
        <f t="shared" ref="K37" si="7">SUM(K40,K42)</f>
        <v>205.82</v>
      </c>
      <c r="L37" s="1053">
        <f>SUM(L40,L42)</f>
        <v>184.29399999999998</v>
      </c>
      <c r="M37" s="1053">
        <f>SUM(M40,M42)</f>
        <v>195.483</v>
      </c>
      <c r="N37" s="2998" t="s">
        <v>2376</v>
      </c>
      <c r="O37" s="2349" t="s">
        <v>2909</v>
      </c>
      <c r="P37" s="2344" t="s">
        <v>1682</v>
      </c>
      <c r="Q37" s="2344" t="s">
        <v>682</v>
      </c>
      <c r="R37" s="2343" t="s">
        <v>1767</v>
      </c>
      <c r="S37" s="2343" t="s">
        <v>1767</v>
      </c>
      <c r="T37" s="2343" t="s">
        <v>1767</v>
      </c>
      <c r="U37" s="2343"/>
      <c r="V37" s="2343" t="s">
        <v>2577</v>
      </c>
      <c r="Y37" s="84"/>
      <c r="Z37" s="84"/>
    </row>
    <row r="38" spans="1:26" ht="31.9" customHeight="1">
      <c r="A38" s="2739"/>
      <c r="B38" s="2367"/>
      <c r="C38" s="2706"/>
      <c r="D38" s="1035" t="s">
        <v>1122</v>
      </c>
      <c r="E38" s="1051"/>
      <c r="F38" s="1424"/>
      <c r="G38" s="1317"/>
      <c r="H38" s="1053"/>
      <c r="I38" s="1604"/>
      <c r="J38" s="1051"/>
      <c r="K38" s="1053">
        <f>K41</f>
        <v>68</v>
      </c>
      <c r="L38" s="1053"/>
      <c r="M38" s="1053"/>
      <c r="N38" s="2999"/>
      <c r="O38" s="2363"/>
      <c r="P38" s="2345"/>
      <c r="Q38" s="2345"/>
      <c r="R38" s="2345"/>
      <c r="S38" s="2345"/>
      <c r="T38" s="2345"/>
      <c r="U38" s="2345"/>
      <c r="V38" s="2345"/>
      <c r="Y38" s="84"/>
      <c r="Z38" s="84"/>
    </row>
    <row r="39" spans="1:26" ht="44.45" customHeight="1">
      <c r="A39" s="2739"/>
      <c r="B39" s="2367"/>
      <c r="C39" s="2706"/>
      <c r="D39" s="1056" t="s">
        <v>1076</v>
      </c>
      <c r="E39" s="1057">
        <f>E37</f>
        <v>127.56</v>
      </c>
      <c r="F39" s="1407">
        <f t="shared" si="0"/>
        <v>-0.41988084038883666</v>
      </c>
      <c r="G39" s="2046">
        <f t="shared" ref="G39" si="8">G37</f>
        <v>152.66999999999999</v>
      </c>
      <c r="H39" s="1059">
        <f t="shared" ref="H39:J39" si="9">H37</f>
        <v>74</v>
      </c>
      <c r="I39" s="1060">
        <f t="shared" si="1"/>
        <v>1.3321621621621622</v>
      </c>
      <c r="J39" s="1057">
        <f t="shared" si="9"/>
        <v>172.58</v>
      </c>
      <c r="K39" s="1059">
        <f>K37+K38</f>
        <v>273.82</v>
      </c>
      <c r="L39" s="1059">
        <f t="shared" ref="L39:M39" si="10">L37+L38</f>
        <v>184.29399999999998</v>
      </c>
      <c r="M39" s="1059">
        <f t="shared" si="10"/>
        <v>195.483</v>
      </c>
      <c r="N39" s="3000"/>
      <c r="O39" s="2880"/>
      <c r="P39" s="2343"/>
      <c r="Q39" s="2343"/>
      <c r="R39" s="2345"/>
      <c r="S39" s="2345"/>
      <c r="T39" s="2345"/>
      <c r="U39" s="2344"/>
      <c r="V39" s="2344"/>
      <c r="Y39" s="84"/>
      <c r="Z39" s="84"/>
    </row>
    <row r="40" spans="1:26" ht="136.5" hidden="1" customHeight="1">
      <c r="A40" s="1364"/>
      <c r="B40" s="975" t="s">
        <v>506</v>
      </c>
      <c r="C40" s="1078"/>
      <c r="D40" s="990" t="s">
        <v>471</v>
      </c>
      <c r="E40" s="1068">
        <v>65.760000000000005</v>
      </c>
      <c r="F40" s="1394">
        <f t="shared" si="0"/>
        <v>-0.92396593673965932</v>
      </c>
      <c r="G40" s="2047">
        <v>9</v>
      </c>
      <c r="H40" s="989">
        <v>5</v>
      </c>
      <c r="I40" s="1067">
        <f t="shared" si="1"/>
        <v>0.60000000000000009</v>
      </c>
      <c r="J40" s="1068">
        <v>8</v>
      </c>
      <c r="K40" s="989">
        <v>29.26</v>
      </c>
      <c r="L40" s="989">
        <v>3.1</v>
      </c>
      <c r="M40" s="989">
        <v>3.18</v>
      </c>
      <c r="N40" s="2018"/>
      <c r="O40" s="1009" t="s">
        <v>3413</v>
      </c>
      <c r="P40" s="992"/>
      <c r="Q40" s="1011" t="s">
        <v>682</v>
      </c>
      <c r="R40" s="992"/>
      <c r="S40" s="992"/>
      <c r="T40" s="992"/>
      <c r="U40" s="992"/>
      <c r="V40" s="992"/>
      <c r="Y40" s="84"/>
      <c r="Z40" s="84"/>
    </row>
    <row r="41" spans="1:26" ht="136.5" hidden="1" customHeight="1">
      <c r="A41" s="1364"/>
      <c r="B41" s="975"/>
      <c r="C41" s="1078"/>
      <c r="D41" s="990" t="s">
        <v>1122</v>
      </c>
      <c r="E41" s="1068"/>
      <c r="F41" s="1394"/>
      <c r="G41" s="2047"/>
      <c r="H41" s="989"/>
      <c r="I41" s="1067"/>
      <c r="J41" s="1068"/>
      <c r="K41" s="989">
        <v>68</v>
      </c>
      <c r="L41" s="989"/>
      <c r="M41" s="989"/>
      <c r="N41" s="2018"/>
      <c r="O41" s="1009"/>
      <c r="P41" s="992"/>
      <c r="Q41" s="1011"/>
      <c r="R41" s="992"/>
      <c r="S41" s="992"/>
      <c r="T41" s="992"/>
      <c r="U41" s="992"/>
      <c r="V41" s="992"/>
      <c r="Y41" s="84"/>
      <c r="Z41" s="84"/>
    </row>
    <row r="42" spans="1:26" ht="60.75" hidden="1" customHeight="1">
      <c r="A42" s="1364"/>
      <c r="B42" s="975" t="s">
        <v>1626</v>
      </c>
      <c r="C42" s="1078"/>
      <c r="D42" s="990" t="s">
        <v>471</v>
      </c>
      <c r="E42" s="1068">
        <v>61.8</v>
      </c>
      <c r="F42" s="1394">
        <f t="shared" si="0"/>
        <v>0.11650485436893199</v>
      </c>
      <c r="G42" s="2047">
        <v>143.66999999999999</v>
      </c>
      <c r="H42" s="989">
        <v>69</v>
      </c>
      <c r="I42" s="1067">
        <f t="shared" si="1"/>
        <v>1.385217391304348</v>
      </c>
      <c r="J42" s="1068">
        <v>164.58</v>
      </c>
      <c r="K42" s="989">
        <v>176.56</v>
      </c>
      <c r="L42" s="989">
        <v>181.19399999999999</v>
      </c>
      <c r="M42" s="989">
        <v>192.303</v>
      </c>
      <c r="N42" s="2018"/>
      <c r="O42" s="1015" t="s">
        <v>3937</v>
      </c>
      <c r="P42" s="992"/>
      <c r="Q42" s="1011" t="s">
        <v>507</v>
      </c>
      <c r="R42" s="992"/>
      <c r="S42" s="992"/>
      <c r="T42" s="992"/>
      <c r="U42" s="992"/>
      <c r="V42" s="992"/>
      <c r="Y42" s="84"/>
      <c r="Z42" s="84"/>
    </row>
    <row r="43" spans="1:26" ht="36.6" customHeight="1">
      <c r="A43" s="2739" t="s">
        <v>2213</v>
      </c>
      <c r="B43" s="2367" t="s">
        <v>1303</v>
      </c>
      <c r="C43" s="2706">
        <v>188701436</v>
      </c>
      <c r="D43" s="1035" t="s">
        <v>471</v>
      </c>
      <c r="E43" s="1051">
        <v>205.04</v>
      </c>
      <c r="F43" s="1424">
        <f t="shared" si="0"/>
        <v>0.21576277799453769</v>
      </c>
      <c r="G43" s="1317">
        <v>148.01</v>
      </c>
      <c r="H43" s="1053">
        <v>249.28</v>
      </c>
      <c r="I43" s="1604">
        <f t="shared" si="1"/>
        <v>-0.32485558408215653</v>
      </c>
      <c r="J43" s="1051">
        <v>168.3</v>
      </c>
      <c r="K43" s="1053">
        <v>180.56</v>
      </c>
      <c r="L43" s="1053">
        <v>179.24700000000001</v>
      </c>
      <c r="M43" s="1053">
        <v>183.87700000000001</v>
      </c>
      <c r="N43" s="3568" t="s">
        <v>2579</v>
      </c>
      <c r="O43" s="2612" t="s">
        <v>2578</v>
      </c>
      <c r="P43" s="3517" t="s">
        <v>1683</v>
      </c>
      <c r="Q43" s="3517" t="s">
        <v>1765</v>
      </c>
      <c r="R43" s="3517" t="s">
        <v>1766</v>
      </c>
      <c r="S43" s="3517" t="s">
        <v>1766</v>
      </c>
      <c r="T43" s="3517" t="s">
        <v>1766</v>
      </c>
      <c r="U43" s="3595"/>
      <c r="V43" s="3517" t="s">
        <v>2580</v>
      </c>
      <c r="Y43" s="84"/>
      <c r="Z43" s="84"/>
    </row>
    <row r="44" spans="1:26" ht="37.9" customHeight="1">
      <c r="A44" s="2739"/>
      <c r="B44" s="2367"/>
      <c r="C44" s="2706"/>
      <c r="D44" s="1056" t="s">
        <v>1076</v>
      </c>
      <c r="E44" s="1057">
        <f>E43</f>
        <v>205.04</v>
      </c>
      <c r="F44" s="1407">
        <f t="shared" si="0"/>
        <v>0.21576277799453769</v>
      </c>
      <c r="G44" s="2046">
        <f t="shared" ref="G44:M44" si="11">G43</f>
        <v>148.01</v>
      </c>
      <c r="H44" s="1059">
        <f t="shared" si="11"/>
        <v>249.28</v>
      </c>
      <c r="I44" s="1060">
        <f t="shared" si="1"/>
        <v>-0.32485558408215653</v>
      </c>
      <c r="J44" s="1057">
        <f t="shared" si="11"/>
        <v>168.3</v>
      </c>
      <c r="K44" s="1059">
        <f t="shared" si="11"/>
        <v>180.56</v>
      </c>
      <c r="L44" s="1059">
        <f t="shared" si="11"/>
        <v>179.24700000000001</v>
      </c>
      <c r="M44" s="1059">
        <f t="shared" si="11"/>
        <v>183.87700000000001</v>
      </c>
      <c r="N44" s="3568"/>
      <c r="O44" s="2613"/>
      <c r="P44" s="3517"/>
      <c r="Q44" s="3517"/>
      <c r="R44" s="3517"/>
      <c r="S44" s="3517"/>
      <c r="T44" s="3517"/>
      <c r="U44" s="3596"/>
      <c r="V44" s="3517"/>
      <c r="Y44" s="84"/>
      <c r="Z44" s="84"/>
    </row>
    <row r="45" spans="1:26" ht="63.6" customHeight="1">
      <c r="A45" s="1017" t="s">
        <v>2261</v>
      </c>
      <c r="B45" s="954" t="s">
        <v>2454</v>
      </c>
      <c r="C45" s="1017"/>
      <c r="D45" s="1017"/>
      <c r="E45" s="2048">
        <f>SUM(E51,E67,E72,E78,E80,E86,E88,E90)</f>
        <v>3173.154</v>
      </c>
      <c r="F45" s="1368">
        <f t="shared" si="0"/>
        <v>-0.1705571176186218</v>
      </c>
      <c r="G45" s="2049">
        <f>SUM(G51,G67,G72,G78,G80,G86,G88,G90)</f>
        <v>1031.25</v>
      </c>
      <c r="H45" s="1017">
        <f>SUM(H51,H67,H72,H78,H80,H86,H88,H90)</f>
        <v>2631.95</v>
      </c>
      <c r="I45" s="1096">
        <f t="shared" si="1"/>
        <v>-0.22920268242177844</v>
      </c>
      <c r="J45" s="1094">
        <f>SUM(J51,J67,J72,J78,J80,J86,J88,J90)</f>
        <v>2028.7</v>
      </c>
      <c r="K45" s="1095">
        <f>SUM(K51,K67,K72,K78,K80,K86,K88,K90)</f>
        <v>2817.5279999999998</v>
      </c>
      <c r="L45" s="1095">
        <f>SUM(L51,L67,L72,L78,L80,L86,L88,L90)</f>
        <v>2538.4</v>
      </c>
      <c r="M45" s="1095">
        <f>SUM(M51,M67,M72,M78,M80,M86,M88,M90)</f>
        <v>2317.5060000000003</v>
      </c>
      <c r="N45" s="1457" t="s">
        <v>987</v>
      </c>
      <c r="O45" s="1017"/>
      <c r="P45" s="1017" t="s">
        <v>1774</v>
      </c>
      <c r="Q45" s="954" t="s">
        <v>1485</v>
      </c>
      <c r="R45" s="1017">
        <v>0</v>
      </c>
      <c r="S45" s="1017">
        <v>0</v>
      </c>
      <c r="T45" s="1017">
        <v>1</v>
      </c>
      <c r="U45" s="1017"/>
      <c r="V45" s="954"/>
      <c r="Y45" s="84"/>
      <c r="Z45" s="84"/>
    </row>
    <row r="46" spans="1:26" ht="30" customHeight="1">
      <c r="A46" s="2727" t="s">
        <v>2673</v>
      </c>
      <c r="B46" s="2574" t="s">
        <v>3414</v>
      </c>
      <c r="C46" s="2897">
        <v>188711925</v>
      </c>
      <c r="D46" s="1098" t="s">
        <v>2928</v>
      </c>
      <c r="E46" s="1099">
        <v>43.738999999999997</v>
      </c>
      <c r="F46" s="1424">
        <f t="shared" si="0"/>
        <v>12.174741077756694</v>
      </c>
      <c r="G46" s="2050">
        <v>176.25</v>
      </c>
      <c r="H46" s="1053">
        <v>576.25</v>
      </c>
      <c r="I46" s="1604"/>
      <c r="J46" s="1051"/>
      <c r="K46" s="1053"/>
      <c r="L46" s="1053"/>
      <c r="M46" s="1053"/>
      <c r="N46" s="2998" t="s">
        <v>2377</v>
      </c>
      <c r="O46" s="2395" t="s">
        <v>3938</v>
      </c>
      <c r="P46" s="2343" t="s">
        <v>1684</v>
      </c>
      <c r="Q46" s="2343" t="s">
        <v>3488</v>
      </c>
      <c r="R46" s="2342" t="s">
        <v>434</v>
      </c>
      <c r="S46" s="2343" t="s">
        <v>324</v>
      </c>
      <c r="T46" s="2343" t="s">
        <v>324</v>
      </c>
      <c r="U46" s="2343" t="s">
        <v>393</v>
      </c>
      <c r="V46" s="2343" t="s">
        <v>2671</v>
      </c>
      <c r="Y46" s="84"/>
      <c r="Z46" s="84"/>
    </row>
    <row r="47" spans="1:26" ht="35.25" customHeight="1">
      <c r="A47" s="2727"/>
      <c r="B47" s="2574"/>
      <c r="C47" s="2897"/>
      <c r="D47" s="1098" t="s">
        <v>471</v>
      </c>
      <c r="E47" s="1099"/>
      <c r="F47" s="1424"/>
      <c r="G47" s="2050"/>
      <c r="H47" s="1053"/>
      <c r="I47" s="1604"/>
      <c r="J47" s="1051"/>
      <c r="K47" s="1053"/>
      <c r="L47" s="1053"/>
      <c r="M47" s="1053"/>
      <c r="N47" s="2999"/>
      <c r="O47" s="2395"/>
      <c r="P47" s="2345"/>
      <c r="Q47" s="2345"/>
      <c r="R47" s="2342"/>
      <c r="S47" s="2345"/>
      <c r="T47" s="2345"/>
      <c r="U47" s="2345"/>
      <c r="V47" s="2344"/>
      <c r="Y47" s="84"/>
      <c r="Z47" s="84"/>
    </row>
    <row r="48" spans="1:26" ht="30" customHeight="1">
      <c r="A48" s="2727"/>
      <c r="B48" s="2575"/>
      <c r="C48" s="2881"/>
      <c r="D48" s="1082" t="s">
        <v>246</v>
      </c>
      <c r="E48" s="1051"/>
      <c r="F48" s="1424"/>
      <c r="G48" s="1317"/>
      <c r="H48" s="1053"/>
      <c r="I48" s="1604"/>
      <c r="J48" s="1051">
        <v>1310.7</v>
      </c>
      <c r="K48" s="1053">
        <v>1251.7280000000001</v>
      </c>
      <c r="L48" s="1053">
        <v>828.90599999999995</v>
      </c>
      <c r="M48" s="1053">
        <v>682.38499999999999</v>
      </c>
      <c r="N48" s="2999"/>
      <c r="O48" s="2396"/>
      <c r="P48" s="2345"/>
      <c r="Q48" s="2345"/>
      <c r="R48" s="2342"/>
      <c r="S48" s="2345"/>
      <c r="T48" s="2345"/>
      <c r="U48" s="2345"/>
      <c r="V48" s="2343" t="s">
        <v>2672</v>
      </c>
      <c r="Y48" s="84"/>
      <c r="Z48" s="84"/>
    </row>
    <row r="49" spans="1:26" ht="34.5" customHeight="1">
      <c r="A49" s="2727"/>
      <c r="B49" s="2575"/>
      <c r="C49" s="2881"/>
      <c r="D49" s="1082" t="s">
        <v>1122</v>
      </c>
      <c r="E49" s="1051"/>
      <c r="F49" s="1424"/>
      <c r="G49" s="1317"/>
      <c r="H49" s="1053"/>
      <c r="I49" s="1604"/>
      <c r="J49" s="1051"/>
      <c r="K49" s="1053"/>
      <c r="L49" s="1053"/>
      <c r="M49" s="1053"/>
      <c r="N49" s="2999"/>
      <c r="O49" s="2396"/>
      <c r="P49" s="2345"/>
      <c r="Q49" s="2345"/>
      <c r="R49" s="2342"/>
      <c r="S49" s="2345"/>
      <c r="T49" s="2345"/>
      <c r="U49" s="2345"/>
      <c r="V49" s="2345"/>
      <c r="Y49" s="84"/>
      <c r="Z49" s="84"/>
    </row>
    <row r="50" spans="1:26" ht="34.5" customHeight="1">
      <c r="A50" s="2727"/>
      <c r="B50" s="2575"/>
      <c r="C50" s="2881"/>
      <c r="D50" s="1082" t="s">
        <v>1394</v>
      </c>
      <c r="E50" s="1051"/>
      <c r="F50" s="1424"/>
      <c r="G50" s="1317"/>
      <c r="H50" s="1053"/>
      <c r="I50" s="1604"/>
      <c r="J50" s="1051"/>
      <c r="K50" s="1053"/>
      <c r="L50" s="1053">
        <v>194.79400000000001</v>
      </c>
      <c r="M50" s="1053">
        <v>120.42100000000001</v>
      </c>
      <c r="N50" s="2999"/>
      <c r="O50" s="2396"/>
      <c r="P50" s="2345"/>
      <c r="Q50" s="2345"/>
      <c r="R50" s="2342"/>
      <c r="S50" s="2345"/>
      <c r="T50" s="2345"/>
      <c r="U50" s="2345"/>
      <c r="V50" s="2345"/>
      <c r="Y50" s="84"/>
      <c r="Z50" s="84"/>
    </row>
    <row r="51" spans="1:26" ht="38.25" customHeight="1">
      <c r="A51" s="2727"/>
      <c r="B51" s="2575"/>
      <c r="C51" s="2881"/>
      <c r="D51" s="1083" t="s">
        <v>1076</v>
      </c>
      <c r="E51" s="1057">
        <f>SUM(E46:E49)</f>
        <v>43.738999999999997</v>
      </c>
      <c r="F51" s="1407">
        <f t="shared" si="0"/>
        <v>12.174741077756694</v>
      </c>
      <c r="G51" s="2046">
        <f t="shared" ref="G51:K51" si="12">SUM(G46:G49)</f>
        <v>176.25</v>
      </c>
      <c r="H51" s="1059">
        <f t="shared" si="12"/>
        <v>576.25</v>
      </c>
      <c r="I51" s="1060">
        <f t="shared" si="1"/>
        <v>1.2745336225596531</v>
      </c>
      <c r="J51" s="1057">
        <f t="shared" si="12"/>
        <v>1310.7</v>
      </c>
      <c r="K51" s="1059">
        <f t="shared" si="12"/>
        <v>1251.7280000000001</v>
      </c>
      <c r="L51" s="1059">
        <f>SUM(L46:L50)</f>
        <v>1023.6999999999999</v>
      </c>
      <c r="M51" s="1059">
        <f>SUM(M46:M50)</f>
        <v>802.80600000000004</v>
      </c>
      <c r="N51" s="3000"/>
      <c r="O51" s="2396"/>
      <c r="P51" s="2344"/>
      <c r="Q51" s="2344"/>
      <c r="R51" s="2342"/>
      <c r="S51" s="2344"/>
      <c r="T51" s="2344"/>
      <c r="U51" s="2344"/>
      <c r="V51" s="2344"/>
      <c r="Y51" s="84"/>
      <c r="Z51" s="84"/>
    </row>
    <row r="52" spans="1:26" ht="39" customHeight="1">
      <c r="A52" s="3552" t="s">
        <v>3953</v>
      </c>
      <c r="B52" s="2574" t="s">
        <v>3415</v>
      </c>
      <c r="C52" s="2897">
        <v>188711925</v>
      </c>
      <c r="D52" s="1098" t="s">
        <v>2928</v>
      </c>
      <c r="E52" s="1099">
        <v>43.738999999999997</v>
      </c>
      <c r="F52" s="1424">
        <f t="shared" ref="F52" si="13">H52/E52-1</f>
        <v>-1</v>
      </c>
      <c r="G52" s="2050">
        <v>176.25</v>
      </c>
      <c r="H52" s="1053"/>
      <c r="I52" s="1604"/>
      <c r="J52" s="1051"/>
      <c r="K52" s="1053">
        <v>163.68799999999999</v>
      </c>
      <c r="L52" s="1053"/>
      <c r="M52" s="1053"/>
      <c r="N52" s="2998" t="s">
        <v>2377</v>
      </c>
      <c r="O52" s="2395" t="s">
        <v>3939</v>
      </c>
      <c r="P52" s="2343" t="s">
        <v>1684</v>
      </c>
      <c r="Q52" s="2342" t="s">
        <v>3482</v>
      </c>
      <c r="R52" s="2342" t="s">
        <v>434</v>
      </c>
      <c r="S52" s="2342" t="s">
        <v>434</v>
      </c>
      <c r="T52" s="2342" t="s">
        <v>434</v>
      </c>
      <c r="U52" s="2342" t="s">
        <v>3483</v>
      </c>
      <c r="V52" s="2343" t="s">
        <v>2671</v>
      </c>
      <c r="Y52" s="84"/>
      <c r="Z52" s="84"/>
    </row>
    <row r="53" spans="1:26" ht="35.25" customHeight="1">
      <c r="A53" s="3553"/>
      <c r="B53" s="2574"/>
      <c r="C53" s="2897"/>
      <c r="D53" s="1098" t="s">
        <v>471</v>
      </c>
      <c r="E53" s="1099"/>
      <c r="F53" s="1424"/>
      <c r="G53" s="2050"/>
      <c r="H53" s="1053"/>
      <c r="I53" s="1604"/>
      <c r="J53" s="1051">
        <v>52.4</v>
      </c>
      <c r="K53" s="1053"/>
      <c r="L53" s="1053"/>
      <c r="M53" s="1053"/>
      <c r="N53" s="2999"/>
      <c r="O53" s="2395"/>
      <c r="P53" s="2345"/>
      <c r="Q53" s="2342"/>
      <c r="R53" s="2342"/>
      <c r="S53" s="2342"/>
      <c r="T53" s="2342"/>
      <c r="U53" s="2342"/>
      <c r="V53" s="2344"/>
      <c r="Y53" s="84"/>
      <c r="Z53" s="84"/>
    </row>
    <row r="54" spans="1:26" ht="30" customHeight="1">
      <c r="A54" s="3553"/>
      <c r="B54" s="2575"/>
      <c r="C54" s="2881"/>
      <c r="D54" s="1082" t="s">
        <v>246</v>
      </c>
      <c r="E54" s="1051"/>
      <c r="F54" s="1424"/>
      <c r="G54" s="1317"/>
      <c r="H54" s="1053"/>
      <c r="I54" s="1604"/>
      <c r="J54" s="1051">
        <v>1033.5999999999999</v>
      </c>
      <c r="K54" s="1053">
        <v>1033.5999999999999</v>
      </c>
      <c r="L54" s="1053">
        <v>1230.8</v>
      </c>
      <c r="M54" s="1053">
        <v>812.6</v>
      </c>
      <c r="N54" s="2999"/>
      <c r="O54" s="2396"/>
      <c r="P54" s="2345"/>
      <c r="Q54" s="2342" t="s">
        <v>3484</v>
      </c>
      <c r="R54" s="2342"/>
      <c r="S54" s="2342" t="s">
        <v>434</v>
      </c>
      <c r="T54" s="2342" t="s">
        <v>434</v>
      </c>
      <c r="U54" s="2342" t="s">
        <v>3485</v>
      </c>
      <c r="V54" s="2343" t="s">
        <v>2672</v>
      </c>
      <c r="Y54" s="84"/>
      <c r="Z54" s="84"/>
    </row>
    <row r="55" spans="1:26" ht="34.5" customHeight="1">
      <c r="A55" s="3553"/>
      <c r="B55" s="2575"/>
      <c r="C55" s="2881"/>
      <c r="D55" s="1082" t="s">
        <v>1122</v>
      </c>
      <c r="E55" s="1051"/>
      <c r="F55" s="1424"/>
      <c r="G55" s="1317"/>
      <c r="H55" s="1053"/>
      <c r="I55" s="1604"/>
      <c r="J55" s="1051"/>
      <c r="K55" s="1053"/>
      <c r="L55" s="1053"/>
      <c r="M55" s="1053"/>
      <c r="N55" s="2999"/>
      <c r="O55" s="2396"/>
      <c r="P55" s="2345"/>
      <c r="Q55" s="2342"/>
      <c r="R55" s="2342"/>
      <c r="S55" s="2342"/>
      <c r="T55" s="2342"/>
      <c r="U55" s="2342"/>
      <c r="V55" s="2345"/>
      <c r="Y55" s="84"/>
      <c r="Z55" s="84"/>
    </row>
    <row r="56" spans="1:26" ht="34.5" customHeight="1">
      <c r="A56" s="3553"/>
      <c r="B56" s="2575"/>
      <c r="C56" s="2881"/>
      <c r="D56" s="1082" t="s">
        <v>1394</v>
      </c>
      <c r="E56" s="1051"/>
      <c r="F56" s="1424"/>
      <c r="G56" s="1317"/>
      <c r="H56" s="1053"/>
      <c r="I56" s="1604"/>
      <c r="J56" s="1051"/>
      <c r="K56" s="1053"/>
      <c r="L56" s="1053">
        <v>192.25</v>
      </c>
      <c r="M56" s="1053">
        <v>124.687</v>
      </c>
      <c r="N56" s="2999"/>
      <c r="O56" s="2396"/>
      <c r="P56" s="2345"/>
      <c r="Q56" s="2342"/>
      <c r="R56" s="2342"/>
      <c r="S56" s="2342"/>
      <c r="T56" s="2342"/>
      <c r="U56" s="2342"/>
      <c r="V56" s="2345"/>
      <c r="Y56" s="84"/>
      <c r="Z56" s="84"/>
    </row>
    <row r="57" spans="1:26" ht="48.75" customHeight="1">
      <c r="A57" s="3553"/>
      <c r="B57" s="2575"/>
      <c r="C57" s="2881"/>
      <c r="D57" s="1083" t="s">
        <v>1076</v>
      </c>
      <c r="E57" s="1057">
        <f>SUM(E52:E55)</f>
        <v>43.738999999999997</v>
      </c>
      <c r="F57" s="1407">
        <f t="shared" ref="F57:F58" si="14">H57/E57-1</f>
        <v>-1</v>
      </c>
      <c r="G57" s="2046">
        <f t="shared" ref="G57:K57" si="15">SUM(G52:G55)</f>
        <v>176.25</v>
      </c>
      <c r="H57" s="1059">
        <f t="shared" si="15"/>
        <v>0</v>
      </c>
      <c r="I57" s="1060"/>
      <c r="J57" s="1057">
        <f t="shared" si="15"/>
        <v>1086</v>
      </c>
      <c r="K57" s="1059">
        <f t="shared" si="15"/>
        <v>1197.288</v>
      </c>
      <c r="L57" s="1059">
        <f>SUM(L52:L56)</f>
        <v>1423.05</v>
      </c>
      <c r="M57" s="1059">
        <f>SUM(M52:M56)</f>
        <v>937.28700000000003</v>
      </c>
      <c r="N57" s="3000"/>
      <c r="O57" s="2396"/>
      <c r="P57" s="2344"/>
      <c r="Q57" s="2342"/>
      <c r="R57" s="2342"/>
      <c r="S57" s="2342"/>
      <c r="T57" s="2342"/>
      <c r="U57" s="2342"/>
      <c r="V57" s="2344"/>
      <c r="Y57" s="84"/>
      <c r="Z57" s="84"/>
    </row>
    <row r="58" spans="1:26" ht="39" customHeight="1">
      <c r="A58" s="3552" t="s">
        <v>3954</v>
      </c>
      <c r="B58" s="2574" t="s">
        <v>3416</v>
      </c>
      <c r="C58" s="2897">
        <v>188711925</v>
      </c>
      <c r="D58" s="1098" t="s">
        <v>2928</v>
      </c>
      <c r="E58" s="1099">
        <v>43.738999999999997</v>
      </c>
      <c r="F58" s="1424">
        <f t="shared" si="14"/>
        <v>-1</v>
      </c>
      <c r="G58" s="2050">
        <v>176.25</v>
      </c>
      <c r="H58" s="1053"/>
      <c r="I58" s="1604"/>
      <c r="J58" s="1051"/>
      <c r="K58" s="1053">
        <v>100</v>
      </c>
      <c r="L58" s="1053"/>
      <c r="M58" s="1053"/>
      <c r="N58" s="2998" t="s">
        <v>2377</v>
      </c>
      <c r="O58" s="2395" t="s">
        <v>3940</v>
      </c>
      <c r="P58" s="2343" t="s">
        <v>3417</v>
      </c>
      <c r="Q58" s="2342" t="s">
        <v>3482</v>
      </c>
      <c r="R58" s="2342" t="s">
        <v>434</v>
      </c>
      <c r="S58" s="2342" t="s">
        <v>434</v>
      </c>
      <c r="T58" s="2342" t="s">
        <v>434</v>
      </c>
      <c r="U58" s="2342" t="s">
        <v>3486</v>
      </c>
      <c r="V58" s="2343" t="s">
        <v>2671</v>
      </c>
      <c r="Y58" s="84"/>
      <c r="Z58" s="84"/>
    </row>
    <row r="59" spans="1:26" ht="35.25" customHeight="1">
      <c r="A59" s="3553"/>
      <c r="B59" s="2574"/>
      <c r="C59" s="2897"/>
      <c r="D59" s="1098" t="s">
        <v>471</v>
      </c>
      <c r="E59" s="1099"/>
      <c r="F59" s="1424"/>
      <c r="G59" s="2050"/>
      <c r="H59" s="1053"/>
      <c r="I59" s="1604"/>
      <c r="J59" s="1051">
        <v>100</v>
      </c>
      <c r="K59" s="1053"/>
      <c r="L59" s="1053">
        <v>20.75</v>
      </c>
      <c r="M59" s="1053"/>
      <c r="N59" s="2999"/>
      <c r="O59" s="2395"/>
      <c r="P59" s="2345"/>
      <c r="Q59" s="2342"/>
      <c r="R59" s="2342"/>
      <c r="S59" s="2342"/>
      <c r="T59" s="2342"/>
      <c r="U59" s="2342"/>
      <c r="V59" s="2344"/>
      <c r="Y59" s="84"/>
      <c r="Z59" s="84"/>
    </row>
    <row r="60" spans="1:26" ht="30" customHeight="1">
      <c r="A60" s="3553"/>
      <c r="B60" s="2575"/>
      <c r="C60" s="2881"/>
      <c r="D60" s="1082" t="s">
        <v>246</v>
      </c>
      <c r="E60" s="1051"/>
      <c r="F60" s="1424"/>
      <c r="G60" s="1317"/>
      <c r="H60" s="1053"/>
      <c r="I60" s="1604"/>
      <c r="J60" s="1051"/>
      <c r="K60" s="1053"/>
      <c r="L60" s="1053">
        <v>684.25</v>
      </c>
      <c r="M60" s="1053">
        <v>799</v>
      </c>
      <c r="N60" s="2999"/>
      <c r="O60" s="2396"/>
      <c r="P60" s="2345"/>
      <c r="Q60" s="2342" t="s">
        <v>3484</v>
      </c>
      <c r="R60" s="2342"/>
      <c r="S60" s="2342" t="s">
        <v>434</v>
      </c>
      <c r="T60" s="2342" t="s">
        <v>434</v>
      </c>
      <c r="U60" s="2342" t="s">
        <v>3487</v>
      </c>
      <c r="V60" s="2343" t="s">
        <v>2672</v>
      </c>
      <c r="Y60" s="84"/>
      <c r="Z60" s="84"/>
    </row>
    <row r="61" spans="1:26" ht="34.5" customHeight="1">
      <c r="A61" s="3553"/>
      <c r="B61" s="2575"/>
      <c r="C61" s="2881"/>
      <c r="D61" s="1082" t="s">
        <v>1122</v>
      </c>
      <c r="E61" s="1051"/>
      <c r="F61" s="1424"/>
      <c r="G61" s="1317"/>
      <c r="H61" s="1053"/>
      <c r="I61" s="1604"/>
      <c r="J61" s="1051"/>
      <c r="K61" s="1053"/>
      <c r="L61" s="1053"/>
      <c r="M61" s="1053"/>
      <c r="N61" s="2999"/>
      <c r="O61" s="2396"/>
      <c r="P61" s="2345"/>
      <c r="Q61" s="2342"/>
      <c r="R61" s="2342"/>
      <c r="S61" s="2342"/>
      <c r="T61" s="2342"/>
      <c r="U61" s="2342"/>
      <c r="V61" s="2345"/>
      <c r="Y61" s="84"/>
      <c r="Z61" s="84"/>
    </row>
    <row r="62" spans="1:26" ht="34.5" customHeight="1">
      <c r="A62" s="3553"/>
      <c r="B62" s="2575"/>
      <c r="C62" s="2881"/>
      <c r="D62" s="1082" t="s">
        <v>1394</v>
      </c>
      <c r="E62" s="1051"/>
      <c r="F62" s="1424"/>
      <c r="G62" s="1317"/>
      <c r="H62" s="1053"/>
      <c r="I62" s="1604"/>
      <c r="J62" s="1051"/>
      <c r="K62" s="1053"/>
      <c r="L62" s="1053"/>
      <c r="M62" s="1053">
        <v>141</v>
      </c>
      <c r="N62" s="2999"/>
      <c r="O62" s="2396"/>
      <c r="P62" s="2345"/>
      <c r="Q62" s="2342"/>
      <c r="R62" s="2342"/>
      <c r="S62" s="2342"/>
      <c r="T62" s="2342"/>
      <c r="U62" s="2342"/>
      <c r="V62" s="2345"/>
      <c r="Y62" s="84"/>
      <c r="Z62" s="84"/>
    </row>
    <row r="63" spans="1:26" ht="85.9" customHeight="1">
      <c r="A63" s="3553"/>
      <c r="B63" s="2575"/>
      <c r="C63" s="2881"/>
      <c r="D63" s="1083" t="s">
        <v>1076</v>
      </c>
      <c r="E63" s="1057">
        <f>SUM(E58:E61)</f>
        <v>43.738999999999997</v>
      </c>
      <c r="F63" s="1407">
        <f t="shared" ref="F63" si="16">H63/E63-1</f>
        <v>-1</v>
      </c>
      <c r="G63" s="2046">
        <f t="shared" ref="G63:L63" si="17">SUM(G58:G61)</f>
        <v>176.25</v>
      </c>
      <c r="H63" s="1059">
        <f t="shared" si="17"/>
        <v>0</v>
      </c>
      <c r="I63" s="1060"/>
      <c r="J63" s="1057">
        <f t="shared" si="17"/>
        <v>100</v>
      </c>
      <c r="K63" s="1059">
        <f t="shared" si="17"/>
        <v>100</v>
      </c>
      <c r="L63" s="1059">
        <f t="shared" si="17"/>
        <v>705</v>
      </c>
      <c r="M63" s="1059">
        <f>SUM(M58:M61)</f>
        <v>799</v>
      </c>
      <c r="N63" s="3000"/>
      <c r="O63" s="2396"/>
      <c r="P63" s="2344"/>
      <c r="Q63" s="2342"/>
      <c r="R63" s="2342"/>
      <c r="S63" s="2342"/>
      <c r="T63" s="2342"/>
      <c r="U63" s="2342"/>
      <c r="V63" s="2344"/>
      <c r="Y63" s="84"/>
      <c r="Z63" s="84"/>
    </row>
    <row r="64" spans="1:26" ht="48" hidden="1" customHeight="1">
      <c r="A64" s="2997" t="s">
        <v>2215</v>
      </c>
      <c r="B64" s="3562" t="s">
        <v>2940</v>
      </c>
      <c r="C64" s="3521">
        <v>188711925</v>
      </c>
      <c r="D64" s="2051" t="s">
        <v>48</v>
      </c>
      <c r="E64" s="1495">
        <v>15</v>
      </c>
      <c r="F64" s="1496">
        <f t="shared" ref="F64:F155" si="18">(H64-E64)/E64</f>
        <v>-1</v>
      </c>
      <c r="G64" s="2052">
        <v>0</v>
      </c>
      <c r="H64" s="1497"/>
      <c r="I64" s="1096" t="e">
        <f t="shared" si="1"/>
        <v>#DIV/0!</v>
      </c>
      <c r="J64" s="1495"/>
      <c r="K64" s="1497"/>
      <c r="L64" s="1497"/>
      <c r="M64" s="1497"/>
      <c r="N64" s="3027" t="s">
        <v>2378</v>
      </c>
      <c r="O64" s="3030" t="s">
        <v>3221</v>
      </c>
      <c r="P64" s="2852" t="s">
        <v>1685</v>
      </c>
      <c r="Q64" s="2852" t="s">
        <v>1485</v>
      </c>
      <c r="R64" s="2852" t="s">
        <v>434</v>
      </c>
      <c r="S64" s="2852" t="s">
        <v>434</v>
      </c>
      <c r="T64" s="2852" t="s">
        <v>434</v>
      </c>
      <c r="U64" s="1501"/>
      <c r="V64" s="2852" t="s">
        <v>2379</v>
      </c>
      <c r="Y64" s="84"/>
      <c r="Z64" s="84"/>
    </row>
    <row r="65" spans="1:26" ht="42" hidden="1" customHeight="1">
      <c r="A65" s="2997"/>
      <c r="B65" s="3562"/>
      <c r="C65" s="3521"/>
      <c r="D65" s="1753" t="s">
        <v>246</v>
      </c>
      <c r="E65" s="1495">
        <v>135.80000000000001</v>
      </c>
      <c r="F65" s="1496">
        <f t="shared" si="18"/>
        <v>-1</v>
      </c>
      <c r="G65" s="2052"/>
      <c r="H65" s="1497"/>
      <c r="I65" s="1096" t="e">
        <f t="shared" si="1"/>
        <v>#DIV/0!</v>
      </c>
      <c r="J65" s="1495"/>
      <c r="K65" s="1497"/>
      <c r="L65" s="1497"/>
      <c r="M65" s="1497"/>
      <c r="N65" s="3028"/>
      <c r="O65" s="3031"/>
      <c r="P65" s="2917"/>
      <c r="Q65" s="2917"/>
      <c r="R65" s="2917"/>
      <c r="S65" s="2917"/>
      <c r="T65" s="2917"/>
      <c r="U65" s="1655"/>
      <c r="V65" s="2917"/>
      <c r="Y65" s="84"/>
      <c r="Z65" s="84"/>
    </row>
    <row r="66" spans="1:26" ht="42" hidden="1" customHeight="1">
      <c r="A66" s="2997"/>
      <c r="B66" s="3562"/>
      <c r="C66" s="3521"/>
      <c r="D66" s="1753" t="s">
        <v>1122</v>
      </c>
      <c r="E66" s="1495">
        <v>44.148000000000003</v>
      </c>
      <c r="F66" s="1496">
        <f t="shared" si="18"/>
        <v>-1</v>
      </c>
      <c r="G66" s="2052"/>
      <c r="H66" s="1497"/>
      <c r="I66" s="1096" t="e">
        <f t="shared" si="1"/>
        <v>#DIV/0!</v>
      </c>
      <c r="J66" s="1495"/>
      <c r="K66" s="1497"/>
      <c r="L66" s="1497"/>
      <c r="M66" s="1497"/>
      <c r="N66" s="3028"/>
      <c r="O66" s="3031"/>
      <c r="P66" s="2917"/>
      <c r="Q66" s="2917"/>
      <c r="R66" s="2917"/>
      <c r="S66" s="2917"/>
      <c r="T66" s="2917"/>
      <c r="U66" s="1655"/>
      <c r="V66" s="2917"/>
      <c r="Y66" s="84"/>
      <c r="Z66" s="84"/>
    </row>
    <row r="67" spans="1:26" ht="7.9" hidden="1" customHeight="1">
      <c r="A67" s="2997"/>
      <c r="B67" s="3562"/>
      <c r="C67" s="3521"/>
      <c r="D67" s="1758" t="s">
        <v>1076</v>
      </c>
      <c r="E67" s="1495">
        <f>SUM(E64:E66)</f>
        <v>194.94800000000001</v>
      </c>
      <c r="F67" s="1496">
        <f t="shared" si="18"/>
        <v>-1</v>
      </c>
      <c r="G67" s="2052">
        <f t="shared" ref="G67:L67" si="19">SUM(G64:G66)</f>
        <v>0</v>
      </c>
      <c r="H67" s="1497">
        <f t="shared" si="19"/>
        <v>0</v>
      </c>
      <c r="I67" s="1096" t="e">
        <f t="shared" si="1"/>
        <v>#DIV/0!</v>
      </c>
      <c r="J67" s="1495"/>
      <c r="K67" s="1497">
        <f t="shared" si="19"/>
        <v>0</v>
      </c>
      <c r="L67" s="1497">
        <f t="shared" si="19"/>
        <v>0</v>
      </c>
      <c r="M67" s="1497"/>
      <c r="N67" s="3029"/>
      <c r="O67" s="3031"/>
      <c r="P67" s="2917"/>
      <c r="Q67" s="2917"/>
      <c r="R67" s="2917"/>
      <c r="S67" s="2917"/>
      <c r="T67" s="2917"/>
      <c r="U67" s="1655"/>
      <c r="V67" s="2918"/>
      <c r="Y67" s="84"/>
      <c r="Z67" s="84"/>
    </row>
    <row r="68" spans="1:26" ht="33" customHeight="1">
      <c r="A68" s="2727" t="s">
        <v>2216</v>
      </c>
      <c r="B68" s="2575" t="s">
        <v>1304</v>
      </c>
      <c r="C68" s="2881">
        <v>188711925</v>
      </c>
      <c r="D68" s="1082" t="s">
        <v>471</v>
      </c>
      <c r="E68" s="1051">
        <v>83</v>
      </c>
      <c r="F68" s="1424">
        <f t="shared" si="18"/>
        <v>-0.95180722891566261</v>
      </c>
      <c r="G68" s="1317">
        <v>90</v>
      </c>
      <c r="H68" s="1053">
        <v>4</v>
      </c>
      <c r="I68" s="1604">
        <f t="shared" si="1"/>
        <v>94</v>
      </c>
      <c r="J68" s="1051">
        <f>SUM(J73,J74,J75,J76,)</f>
        <v>380</v>
      </c>
      <c r="K68" s="1053">
        <v>103</v>
      </c>
      <c r="L68" s="1053">
        <v>58</v>
      </c>
      <c r="M68" s="1053">
        <v>58</v>
      </c>
      <c r="N68" s="2998" t="s">
        <v>2380</v>
      </c>
      <c r="O68" s="2395" t="s">
        <v>3999</v>
      </c>
      <c r="P68" s="2343" t="s">
        <v>1686</v>
      </c>
      <c r="Q68" s="2343" t="s">
        <v>2448</v>
      </c>
      <c r="R68" s="2343" t="s">
        <v>1349</v>
      </c>
      <c r="S68" s="2343" t="s">
        <v>1597</v>
      </c>
      <c r="T68" s="2343" t="s">
        <v>1597</v>
      </c>
      <c r="U68" s="2343" t="s">
        <v>1597</v>
      </c>
      <c r="V68" s="2343" t="s">
        <v>2581</v>
      </c>
      <c r="Y68" s="84"/>
      <c r="Z68" s="84"/>
    </row>
    <row r="69" spans="1:26" ht="30" customHeight="1">
      <c r="A69" s="2727"/>
      <c r="B69" s="2575"/>
      <c r="C69" s="2881"/>
      <c r="D69" s="1082" t="s">
        <v>1122</v>
      </c>
      <c r="E69" s="1051">
        <v>1185</v>
      </c>
      <c r="F69" s="1424">
        <f t="shared" si="18"/>
        <v>-5.3417721518987306E-2</v>
      </c>
      <c r="G69" s="1317"/>
      <c r="H69" s="1053">
        <v>1121.7</v>
      </c>
      <c r="I69" s="1604">
        <f t="shared" si="1"/>
        <v>-1</v>
      </c>
      <c r="J69" s="1051"/>
      <c r="K69" s="1053">
        <v>1121.7</v>
      </c>
      <c r="L69" s="1053">
        <v>1121.7</v>
      </c>
      <c r="M69" s="1053">
        <v>1121.7</v>
      </c>
      <c r="N69" s="2999"/>
      <c r="O69" s="2396"/>
      <c r="P69" s="2345"/>
      <c r="Q69" s="2345"/>
      <c r="R69" s="2345"/>
      <c r="S69" s="2345"/>
      <c r="T69" s="2345"/>
      <c r="U69" s="2345"/>
      <c r="V69" s="2345"/>
      <c r="Y69" s="84"/>
      <c r="Z69" s="84"/>
    </row>
    <row r="70" spans="1:26" ht="30" customHeight="1">
      <c r="A70" s="2727"/>
      <c r="B70" s="2575"/>
      <c r="C70" s="2881"/>
      <c r="D70" s="1082" t="s">
        <v>471</v>
      </c>
      <c r="E70" s="1051"/>
      <c r="F70" s="1424"/>
      <c r="G70" s="1317"/>
      <c r="H70" s="1053"/>
      <c r="I70" s="1604"/>
      <c r="J70" s="1051"/>
      <c r="K70" s="1053"/>
      <c r="L70" s="1053"/>
      <c r="M70" s="1053"/>
      <c r="N70" s="2999"/>
      <c r="O70" s="2396"/>
      <c r="P70" s="2345"/>
      <c r="Q70" s="2345"/>
      <c r="R70" s="2345"/>
      <c r="S70" s="2345"/>
      <c r="T70" s="2345"/>
      <c r="U70" s="2345"/>
      <c r="V70" s="2345"/>
      <c r="Y70" s="84"/>
      <c r="Z70" s="84"/>
    </row>
    <row r="71" spans="1:26" ht="30" customHeight="1">
      <c r="A71" s="2727"/>
      <c r="B71" s="2575"/>
      <c r="C71" s="2881"/>
      <c r="D71" s="1082" t="s">
        <v>2928</v>
      </c>
      <c r="E71" s="1051"/>
      <c r="F71" s="1424"/>
      <c r="G71" s="1317"/>
      <c r="H71" s="1053">
        <v>90</v>
      </c>
      <c r="I71" s="1604">
        <f t="shared" si="1"/>
        <v>-1</v>
      </c>
      <c r="J71" s="1051"/>
      <c r="K71" s="1053">
        <v>30</v>
      </c>
      <c r="L71" s="1053"/>
      <c r="M71" s="1053"/>
      <c r="N71" s="2999"/>
      <c r="O71" s="2396"/>
      <c r="P71" s="2345"/>
      <c r="Q71" s="2345"/>
      <c r="R71" s="2345"/>
      <c r="S71" s="2345"/>
      <c r="T71" s="2345"/>
      <c r="U71" s="2345"/>
      <c r="V71" s="2345"/>
      <c r="Y71" s="84"/>
      <c r="Z71" s="84"/>
    </row>
    <row r="72" spans="1:26" ht="51" customHeight="1">
      <c r="A72" s="2727"/>
      <c r="B72" s="2575"/>
      <c r="C72" s="2881"/>
      <c r="D72" s="1083" t="s">
        <v>1076</v>
      </c>
      <c r="E72" s="1057">
        <f>SUM(E68:E69)</f>
        <v>1268</v>
      </c>
      <c r="F72" s="1407">
        <f t="shared" si="18"/>
        <v>-4.1246056782334346E-2</v>
      </c>
      <c r="G72" s="2046">
        <f t="shared" ref="G72" si="20">SUM(G68:G69)</f>
        <v>90</v>
      </c>
      <c r="H72" s="1059">
        <f>SUM(H68:H71)</f>
        <v>1215.7</v>
      </c>
      <c r="I72" s="1060">
        <f t="shared" si="1"/>
        <v>-0.68742288393518136</v>
      </c>
      <c r="J72" s="1059">
        <f>SUM(J68:J71)</f>
        <v>380</v>
      </c>
      <c r="K72" s="1059">
        <f>SUM(K68,K69,K70,K71)</f>
        <v>1254.7</v>
      </c>
      <c r="L72" s="1059">
        <f t="shared" ref="L72:M72" si="21">SUM(L68,L69,L70,L71)</f>
        <v>1179.7</v>
      </c>
      <c r="M72" s="1059">
        <f t="shared" si="21"/>
        <v>1179.7</v>
      </c>
      <c r="N72" s="3000"/>
      <c r="O72" s="2396"/>
      <c r="P72" s="2345"/>
      <c r="Q72" s="2345"/>
      <c r="R72" s="2345"/>
      <c r="S72" s="2345"/>
      <c r="T72" s="2345"/>
      <c r="U72" s="2344"/>
      <c r="V72" s="2345"/>
      <c r="Y72" s="84"/>
      <c r="Z72" s="84"/>
    </row>
    <row r="73" spans="1:26" ht="27" hidden="1" customHeight="1">
      <c r="A73" s="2053"/>
      <c r="B73" s="2054" t="s">
        <v>3418</v>
      </c>
      <c r="C73" s="2055"/>
      <c r="D73" s="2056" t="s">
        <v>471</v>
      </c>
      <c r="E73" s="1524"/>
      <c r="F73" s="1490"/>
      <c r="G73" s="2057"/>
      <c r="H73" s="2058"/>
      <c r="I73" s="2059"/>
      <c r="J73" s="1518">
        <v>120</v>
      </c>
      <c r="K73" s="2058"/>
      <c r="L73" s="2058"/>
      <c r="M73" s="2058"/>
      <c r="N73" s="2060"/>
      <c r="O73" s="2699" t="s">
        <v>3802</v>
      </c>
      <c r="P73" s="3507"/>
      <c r="Q73" s="3508"/>
      <c r="R73" s="3508"/>
      <c r="S73" s="3508"/>
      <c r="T73" s="3508"/>
      <c r="U73" s="3508"/>
      <c r="V73" s="3509"/>
      <c r="Y73" s="84"/>
      <c r="Z73" s="84"/>
    </row>
    <row r="74" spans="1:26" ht="39.75" hidden="1" customHeight="1">
      <c r="A74" s="2053"/>
      <c r="B74" s="2054" t="s">
        <v>3419</v>
      </c>
      <c r="C74" s="2055"/>
      <c r="D74" s="2056" t="s">
        <v>471</v>
      </c>
      <c r="E74" s="1524"/>
      <c r="F74" s="1490"/>
      <c r="G74" s="2057"/>
      <c r="H74" s="2058"/>
      <c r="I74" s="2059"/>
      <c r="J74" s="1518">
        <v>45</v>
      </c>
      <c r="K74" s="2058"/>
      <c r="L74" s="2058"/>
      <c r="M74" s="2058"/>
      <c r="N74" s="2060"/>
      <c r="O74" s="2700"/>
      <c r="P74" s="3510"/>
      <c r="Q74" s="3511"/>
      <c r="R74" s="3511"/>
      <c r="S74" s="3511"/>
      <c r="T74" s="3511"/>
      <c r="U74" s="3511"/>
      <c r="V74" s="3512"/>
      <c r="Y74" s="84"/>
      <c r="Z74" s="84"/>
    </row>
    <row r="75" spans="1:26" ht="22.5" hidden="1" customHeight="1">
      <c r="A75" s="2053"/>
      <c r="B75" s="2054" t="s">
        <v>3957</v>
      </c>
      <c r="C75" s="2055"/>
      <c r="D75" s="2056" t="s">
        <v>471</v>
      </c>
      <c r="E75" s="1524"/>
      <c r="F75" s="1490"/>
      <c r="G75" s="2057"/>
      <c r="H75" s="2058"/>
      <c r="I75" s="2059"/>
      <c r="J75" s="1518">
        <v>200</v>
      </c>
      <c r="K75" s="2058"/>
      <c r="L75" s="2058"/>
      <c r="M75" s="2058"/>
      <c r="N75" s="2060"/>
      <c r="O75" s="2700"/>
      <c r="P75" s="3510"/>
      <c r="Q75" s="3511"/>
      <c r="R75" s="3511"/>
      <c r="S75" s="3511"/>
      <c r="T75" s="3511"/>
      <c r="U75" s="3511"/>
      <c r="V75" s="3512"/>
      <c r="Y75" s="84"/>
      <c r="Z75" s="84"/>
    </row>
    <row r="76" spans="1:26" ht="32.25" hidden="1" customHeight="1">
      <c r="A76" s="2053"/>
      <c r="B76" s="2054" t="s">
        <v>3420</v>
      </c>
      <c r="C76" s="2055"/>
      <c r="D76" s="2056" t="s">
        <v>471</v>
      </c>
      <c r="E76" s="1524"/>
      <c r="F76" s="1490"/>
      <c r="G76" s="2057"/>
      <c r="H76" s="2058"/>
      <c r="I76" s="2059"/>
      <c r="J76" s="1518">
        <v>15</v>
      </c>
      <c r="K76" s="2058"/>
      <c r="L76" s="2058"/>
      <c r="M76" s="2058"/>
      <c r="N76" s="2060"/>
      <c r="O76" s="2701"/>
      <c r="P76" s="3513"/>
      <c r="Q76" s="3514"/>
      <c r="R76" s="3514"/>
      <c r="S76" s="3514"/>
      <c r="T76" s="3514"/>
      <c r="U76" s="3514"/>
      <c r="V76" s="3515"/>
      <c r="Y76" s="84"/>
      <c r="Z76" s="84"/>
    </row>
    <row r="77" spans="1:26" ht="42" customHeight="1">
      <c r="A77" s="2727" t="s">
        <v>2217</v>
      </c>
      <c r="B77" s="2575" t="s">
        <v>1305</v>
      </c>
      <c r="C77" s="2881">
        <v>188711925</v>
      </c>
      <c r="D77" s="1082" t="s">
        <v>471</v>
      </c>
      <c r="E77" s="1051">
        <v>58</v>
      </c>
      <c r="F77" s="1424">
        <f t="shared" si="18"/>
        <v>-0.74137931034482762</v>
      </c>
      <c r="G77" s="1317">
        <v>30</v>
      </c>
      <c r="H77" s="1053">
        <v>15</v>
      </c>
      <c r="I77" s="1604">
        <f t="shared" si="1"/>
        <v>0.8666666666666667</v>
      </c>
      <c r="J77" s="1051">
        <v>28</v>
      </c>
      <c r="K77" s="1053">
        <v>23</v>
      </c>
      <c r="L77" s="1053">
        <v>5</v>
      </c>
      <c r="M77" s="1053">
        <v>5</v>
      </c>
      <c r="N77" s="2998" t="s">
        <v>2381</v>
      </c>
      <c r="O77" s="2395" t="s">
        <v>3421</v>
      </c>
      <c r="P77" s="2343" t="s">
        <v>1687</v>
      </c>
      <c r="Q77" s="2343" t="s">
        <v>1768</v>
      </c>
      <c r="R77" s="2343" t="s">
        <v>393</v>
      </c>
      <c r="S77" s="2343" t="s">
        <v>393</v>
      </c>
      <c r="T77" s="2343" t="s">
        <v>393</v>
      </c>
      <c r="U77" s="2343" t="s">
        <v>393</v>
      </c>
      <c r="V77" s="2343" t="s">
        <v>2582</v>
      </c>
      <c r="Y77" s="84"/>
      <c r="Z77" s="84"/>
    </row>
    <row r="78" spans="1:26" ht="42" customHeight="1">
      <c r="A78" s="2727"/>
      <c r="B78" s="2575"/>
      <c r="C78" s="2881"/>
      <c r="D78" s="1083" t="s">
        <v>1076</v>
      </c>
      <c r="E78" s="1057">
        <f>E77</f>
        <v>58</v>
      </c>
      <c r="F78" s="1407">
        <f>(H78-E78)/E78</f>
        <v>-0.74137931034482762</v>
      </c>
      <c r="G78" s="2046">
        <f t="shared" ref="G78" si="22">G77</f>
        <v>30</v>
      </c>
      <c r="H78" s="1059">
        <f>H77</f>
        <v>15</v>
      </c>
      <c r="I78" s="1060">
        <f t="shared" si="1"/>
        <v>0.8666666666666667</v>
      </c>
      <c r="J78" s="1057">
        <f t="shared" ref="J78:M78" si="23">J77</f>
        <v>28</v>
      </c>
      <c r="K78" s="1059">
        <f t="shared" si="23"/>
        <v>23</v>
      </c>
      <c r="L78" s="1059">
        <f t="shared" si="23"/>
        <v>5</v>
      </c>
      <c r="M78" s="1059">
        <f t="shared" si="23"/>
        <v>5</v>
      </c>
      <c r="N78" s="3000"/>
      <c r="O78" s="2396"/>
      <c r="P78" s="2345"/>
      <c r="Q78" s="2345"/>
      <c r="R78" s="2345"/>
      <c r="S78" s="2345"/>
      <c r="T78" s="2345"/>
      <c r="U78" s="2344"/>
      <c r="V78" s="2344"/>
      <c r="Y78" s="84"/>
      <c r="Z78" s="84"/>
    </row>
    <row r="79" spans="1:26" ht="42" hidden="1" customHeight="1">
      <c r="A79" s="2727" t="s">
        <v>2218</v>
      </c>
      <c r="B79" s="2575" t="s">
        <v>2941</v>
      </c>
      <c r="C79" s="2881">
        <v>188711925</v>
      </c>
      <c r="D79" s="1082" t="s">
        <v>471</v>
      </c>
      <c r="E79" s="1051">
        <v>106.54600000000001</v>
      </c>
      <c r="F79" s="1424">
        <f t="shared" si="18"/>
        <v>-1</v>
      </c>
      <c r="G79" s="1317"/>
      <c r="H79" s="1053"/>
      <c r="I79" s="1096" t="e">
        <f t="shared" si="1"/>
        <v>#DIV/0!</v>
      </c>
      <c r="J79" s="1051"/>
      <c r="K79" s="1053"/>
      <c r="L79" s="1053"/>
      <c r="M79" s="1053"/>
      <c r="N79" s="2998" t="s">
        <v>2382</v>
      </c>
      <c r="O79" s="2395" t="s">
        <v>2674</v>
      </c>
      <c r="P79" s="2343" t="s">
        <v>1688</v>
      </c>
      <c r="Q79" s="2343" t="s">
        <v>1769</v>
      </c>
      <c r="R79" s="2343" t="s">
        <v>434</v>
      </c>
      <c r="S79" s="2343" t="s">
        <v>434</v>
      </c>
      <c r="T79" s="2343" t="s">
        <v>434</v>
      </c>
      <c r="U79" s="949"/>
      <c r="V79" s="2343" t="s">
        <v>2583</v>
      </c>
      <c r="Y79" s="84"/>
      <c r="Z79" s="84"/>
    </row>
    <row r="80" spans="1:26" ht="42" hidden="1" customHeight="1">
      <c r="A80" s="2727"/>
      <c r="B80" s="2575"/>
      <c r="C80" s="2881"/>
      <c r="D80" s="1083" t="s">
        <v>1076</v>
      </c>
      <c r="E80" s="1057">
        <f>E79</f>
        <v>106.54600000000001</v>
      </c>
      <c r="F80" s="1407">
        <f t="shared" si="18"/>
        <v>-1</v>
      </c>
      <c r="G80" s="2046">
        <f t="shared" ref="G80:L80" si="24">G79</f>
        <v>0</v>
      </c>
      <c r="H80" s="1059">
        <f t="shared" si="24"/>
        <v>0</v>
      </c>
      <c r="I80" s="1096" t="e">
        <f t="shared" si="1"/>
        <v>#DIV/0!</v>
      </c>
      <c r="J80" s="1057"/>
      <c r="K80" s="1059">
        <f t="shared" si="24"/>
        <v>0</v>
      </c>
      <c r="L80" s="1059">
        <f t="shared" si="24"/>
        <v>0</v>
      </c>
      <c r="M80" s="1059"/>
      <c r="N80" s="3000"/>
      <c r="O80" s="2396"/>
      <c r="P80" s="2345"/>
      <c r="Q80" s="2345"/>
      <c r="R80" s="2345"/>
      <c r="S80" s="2345"/>
      <c r="T80" s="2345"/>
      <c r="U80" s="996"/>
      <c r="V80" s="2344"/>
      <c r="Y80" s="84"/>
      <c r="Z80" s="84"/>
    </row>
    <row r="81" spans="1:26" ht="30.6" hidden="1" customHeight="1">
      <c r="A81" s="2997" t="s">
        <v>2219</v>
      </c>
      <c r="B81" s="3562" t="s">
        <v>2942</v>
      </c>
      <c r="C81" s="3521">
        <v>188711925</v>
      </c>
      <c r="D81" s="1753" t="s">
        <v>2928</v>
      </c>
      <c r="E81" s="1495">
        <v>604.05700000000002</v>
      </c>
      <c r="F81" s="1496">
        <f>H81/E81-1</f>
        <v>-0.58546627222265446</v>
      </c>
      <c r="G81" s="2052">
        <v>350</v>
      </c>
      <c r="H81" s="1497">
        <v>250.40199999999999</v>
      </c>
      <c r="I81" s="2061"/>
      <c r="J81" s="1495"/>
      <c r="K81" s="1497"/>
      <c r="L81" s="1497"/>
      <c r="M81" s="1497"/>
      <c r="N81" s="3027" t="s">
        <v>2383</v>
      </c>
      <c r="O81" s="3030" t="s">
        <v>3422</v>
      </c>
      <c r="P81" s="2852" t="s">
        <v>1689</v>
      </c>
      <c r="Q81" s="2852" t="s">
        <v>1628</v>
      </c>
      <c r="R81" s="2852" t="s">
        <v>324</v>
      </c>
      <c r="S81" s="2852" t="s">
        <v>434</v>
      </c>
      <c r="T81" s="2852" t="s">
        <v>434</v>
      </c>
      <c r="U81" s="1501"/>
      <c r="V81" s="2852" t="s">
        <v>2584</v>
      </c>
      <c r="Y81" s="84"/>
      <c r="Z81" s="84"/>
    </row>
    <row r="82" spans="1:26" ht="22.15" hidden="1" customHeight="1">
      <c r="A82" s="2997"/>
      <c r="B82" s="3562"/>
      <c r="C82" s="3521"/>
      <c r="D82" s="1753" t="s">
        <v>246</v>
      </c>
      <c r="E82" s="1495">
        <v>200.44</v>
      </c>
      <c r="F82" s="1496">
        <f t="shared" si="18"/>
        <v>-1</v>
      </c>
      <c r="G82" s="2052"/>
      <c r="H82" s="1497"/>
      <c r="I82" s="2061"/>
      <c r="J82" s="1495"/>
      <c r="K82" s="1497"/>
      <c r="L82" s="1497"/>
      <c r="M82" s="1497"/>
      <c r="N82" s="3028"/>
      <c r="O82" s="3030"/>
      <c r="P82" s="2917"/>
      <c r="Q82" s="2917"/>
      <c r="R82" s="2917"/>
      <c r="S82" s="2917"/>
      <c r="T82" s="2917"/>
      <c r="U82" s="1655"/>
      <c r="V82" s="2917"/>
      <c r="Y82" s="84"/>
      <c r="Z82" s="84"/>
    </row>
    <row r="83" spans="1:26" ht="19.899999999999999" hidden="1" customHeight="1">
      <c r="A83" s="2997"/>
      <c r="B83" s="3562"/>
      <c r="C83" s="3521"/>
      <c r="D83" s="1753" t="s">
        <v>1122</v>
      </c>
      <c r="E83" s="1495"/>
      <c r="F83" s="1496"/>
      <c r="G83" s="2052"/>
      <c r="H83" s="1497"/>
      <c r="I83" s="2061"/>
      <c r="J83" s="1495"/>
      <c r="K83" s="1497"/>
      <c r="L83" s="1497"/>
      <c r="M83" s="1497"/>
      <c r="N83" s="3028"/>
      <c r="O83" s="3030"/>
      <c r="P83" s="2917"/>
      <c r="Q83" s="2917"/>
      <c r="R83" s="2917"/>
      <c r="S83" s="2917"/>
      <c r="T83" s="2917"/>
      <c r="U83" s="1655"/>
      <c r="V83" s="2917"/>
      <c r="Y83" s="84"/>
      <c r="Z83" s="84"/>
    </row>
    <row r="84" spans="1:26" ht="19.899999999999999" hidden="1" customHeight="1">
      <c r="A84" s="2997"/>
      <c r="B84" s="3562"/>
      <c r="C84" s="3521"/>
      <c r="D84" s="1753" t="s">
        <v>1394</v>
      </c>
      <c r="E84" s="1495">
        <v>200</v>
      </c>
      <c r="F84" s="1496">
        <f t="shared" si="18"/>
        <v>-2.0099999999999341E-3</v>
      </c>
      <c r="G84" s="2052"/>
      <c r="H84" s="1497">
        <v>199.59800000000001</v>
      </c>
      <c r="I84" s="2061"/>
      <c r="J84" s="1495"/>
      <c r="K84" s="1497"/>
      <c r="L84" s="1497"/>
      <c r="M84" s="1497"/>
      <c r="N84" s="3028"/>
      <c r="O84" s="3030"/>
      <c r="P84" s="2917"/>
      <c r="Q84" s="2917"/>
      <c r="R84" s="2917"/>
      <c r="S84" s="2917"/>
      <c r="T84" s="2917"/>
      <c r="U84" s="1655"/>
      <c r="V84" s="2917"/>
      <c r="Y84" s="84"/>
      <c r="Z84" s="84"/>
    </row>
    <row r="85" spans="1:26" ht="27" hidden="1" customHeight="1">
      <c r="A85" s="2997"/>
      <c r="B85" s="3562"/>
      <c r="C85" s="3521"/>
      <c r="D85" s="1753" t="s">
        <v>413</v>
      </c>
      <c r="E85" s="1495">
        <v>16.251999999999999</v>
      </c>
      <c r="F85" s="1496">
        <f t="shared" si="18"/>
        <v>-1</v>
      </c>
      <c r="G85" s="2052"/>
      <c r="H85" s="1497"/>
      <c r="I85" s="2061"/>
      <c r="J85" s="1495"/>
      <c r="K85" s="1497"/>
      <c r="L85" s="1497"/>
      <c r="M85" s="1497"/>
      <c r="N85" s="3028"/>
      <c r="O85" s="3030"/>
      <c r="P85" s="2917"/>
      <c r="Q85" s="2917"/>
      <c r="R85" s="2917"/>
      <c r="S85" s="2917"/>
      <c r="T85" s="2917"/>
      <c r="U85" s="1655"/>
      <c r="V85" s="2917"/>
      <c r="Y85" s="84"/>
      <c r="Z85" s="84"/>
    </row>
    <row r="86" spans="1:26" ht="31.9" hidden="1" customHeight="1">
      <c r="A86" s="2997"/>
      <c r="B86" s="3562"/>
      <c r="C86" s="3521"/>
      <c r="D86" s="1758" t="s">
        <v>1076</v>
      </c>
      <c r="E86" s="1495">
        <f>SUM(E81:E85,)</f>
        <v>1020.749</v>
      </c>
      <c r="F86" s="1496">
        <f t="shared" si="18"/>
        <v>-0.55914725363434103</v>
      </c>
      <c r="G86" s="2052">
        <f t="shared" ref="G86:L86" si="25">SUM(G81:G85,)</f>
        <v>350</v>
      </c>
      <c r="H86" s="1497">
        <f t="shared" si="25"/>
        <v>450</v>
      </c>
      <c r="I86" s="2061"/>
      <c r="J86" s="1495"/>
      <c r="K86" s="1497">
        <f t="shared" si="25"/>
        <v>0</v>
      </c>
      <c r="L86" s="1497">
        <f t="shared" si="25"/>
        <v>0</v>
      </c>
      <c r="M86" s="1497"/>
      <c r="N86" s="3029"/>
      <c r="O86" s="3031"/>
      <c r="P86" s="2917"/>
      <c r="Q86" s="2917"/>
      <c r="R86" s="2917"/>
      <c r="S86" s="2917"/>
      <c r="T86" s="2917"/>
      <c r="U86" s="1655"/>
      <c r="V86" s="2918"/>
      <c r="Y86" s="84"/>
      <c r="Z86" s="84"/>
    </row>
    <row r="87" spans="1:26" ht="42" customHeight="1">
      <c r="A87" s="2727" t="s">
        <v>2220</v>
      </c>
      <c r="B87" s="2575" t="s">
        <v>1306</v>
      </c>
      <c r="C87" s="2881">
        <v>188711925</v>
      </c>
      <c r="D87" s="1082" t="s">
        <v>48</v>
      </c>
      <c r="E87" s="1051">
        <v>200</v>
      </c>
      <c r="F87" s="1424">
        <f t="shared" si="18"/>
        <v>0.47499999999999998</v>
      </c>
      <c r="G87" s="1317">
        <v>300</v>
      </c>
      <c r="H87" s="1053">
        <v>295</v>
      </c>
      <c r="I87" s="1604">
        <f t="shared" si="1"/>
        <v>-0.15254237288135597</v>
      </c>
      <c r="J87" s="1051">
        <v>250</v>
      </c>
      <c r="K87" s="1053">
        <v>250</v>
      </c>
      <c r="L87" s="1053">
        <v>250</v>
      </c>
      <c r="M87" s="1053">
        <v>250</v>
      </c>
      <c r="N87" s="2998" t="s">
        <v>2378</v>
      </c>
      <c r="O87" s="2395" t="s">
        <v>3941</v>
      </c>
      <c r="P87" s="2343" t="s">
        <v>1690</v>
      </c>
      <c r="Q87" s="2343" t="s">
        <v>1770</v>
      </c>
      <c r="R87" s="2343" t="s">
        <v>1744</v>
      </c>
      <c r="S87" s="2343" t="s">
        <v>1744</v>
      </c>
      <c r="T87" s="2343" t="s">
        <v>1744</v>
      </c>
      <c r="U87" s="2343" t="s">
        <v>1744</v>
      </c>
      <c r="V87" s="2343" t="s">
        <v>2379</v>
      </c>
      <c r="W87" s="84" t="s">
        <v>2729</v>
      </c>
      <c r="Y87" s="84"/>
      <c r="Z87" s="84"/>
    </row>
    <row r="88" spans="1:26" ht="42" customHeight="1">
      <c r="A88" s="2727"/>
      <c r="B88" s="2575"/>
      <c r="C88" s="2881"/>
      <c r="D88" s="1083" t="s">
        <v>1076</v>
      </c>
      <c r="E88" s="1057">
        <f>E87</f>
        <v>200</v>
      </c>
      <c r="F88" s="1407">
        <f t="shared" si="18"/>
        <v>0.47499999999999998</v>
      </c>
      <c r="G88" s="2046">
        <f t="shared" ref="G88:M88" si="26">G87</f>
        <v>300</v>
      </c>
      <c r="H88" s="1059">
        <f t="shared" si="26"/>
        <v>295</v>
      </c>
      <c r="I88" s="1060">
        <f t="shared" si="1"/>
        <v>-0.15254237288135597</v>
      </c>
      <c r="J88" s="1057">
        <f t="shared" si="26"/>
        <v>250</v>
      </c>
      <c r="K88" s="1059">
        <f t="shared" si="26"/>
        <v>250</v>
      </c>
      <c r="L88" s="1059">
        <f t="shared" si="26"/>
        <v>250</v>
      </c>
      <c r="M88" s="1059">
        <f t="shared" si="26"/>
        <v>250</v>
      </c>
      <c r="N88" s="3000"/>
      <c r="O88" s="2396"/>
      <c r="P88" s="2345"/>
      <c r="Q88" s="2345"/>
      <c r="R88" s="2345"/>
      <c r="S88" s="2345"/>
      <c r="T88" s="2345"/>
      <c r="U88" s="2344"/>
      <c r="V88" s="2344"/>
      <c r="Y88" s="84"/>
      <c r="Z88" s="84"/>
    </row>
    <row r="89" spans="1:26" ht="42" customHeight="1">
      <c r="A89" s="2727" t="s">
        <v>2221</v>
      </c>
      <c r="B89" s="2575" t="s">
        <v>704</v>
      </c>
      <c r="C89" s="2881">
        <v>188711925</v>
      </c>
      <c r="D89" s="1082" t="s">
        <v>48</v>
      </c>
      <c r="E89" s="1051">
        <v>281.17200000000003</v>
      </c>
      <c r="F89" s="1424">
        <f t="shared" si="18"/>
        <v>-0.71547664774586373</v>
      </c>
      <c r="G89" s="1317">
        <v>85</v>
      </c>
      <c r="H89" s="1053">
        <f>20+60</f>
        <v>80</v>
      </c>
      <c r="I89" s="1604">
        <f t="shared" si="1"/>
        <v>-0.25</v>
      </c>
      <c r="J89" s="1051">
        <v>60</v>
      </c>
      <c r="K89" s="1053">
        <v>38.1</v>
      </c>
      <c r="L89" s="1053">
        <v>80</v>
      </c>
      <c r="M89" s="1053">
        <v>80</v>
      </c>
      <c r="N89" s="2998" t="s">
        <v>2382</v>
      </c>
      <c r="O89" s="2395" t="s">
        <v>4029</v>
      </c>
      <c r="P89" s="2343" t="s">
        <v>1691</v>
      </c>
      <c r="Q89" s="2343" t="s">
        <v>2675</v>
      </c>
      <c r="R89" s="2343" t="s">
        <v>433</v>
      </c>
      <c r="S89" s="2343" t="s">
        <v>434</v>
      </c>
      <c r="T89" s="2343" t="s">
        <v>324</v>
      </c>
      <c r="U89" s="2343" t="s">
        <v>324</v>
      </c>
      <c r="V89" s="2343" t="s">
        <v>2585</v>
      </c>
      <c r="Y89" s="84"/>
      <c r="Z89" s="84"/>
    </row>
    <row r="90" spans="1:26" ht="42" customHeight="1">
      <c r="A90" s="2901"/>
      <c r="B90" s="2902"/>
      <c r="C90" s="2882"/>
      <c r="D90" s="1083" t="s">
        <v>1076</v>
      </c>
      <c r="E90" s="1057">
        <f>E89</f>
        <v>281.17200000000003</v>
      </c>
      <c r="F90" s="1407">
        <f t="shared" si="18"/>
        <v>-0.71547664774586373</v>
      </c>
      <c r="G90" s="2046">
        <f t="shared" ref="G90:M90" si="27">G89</f>
        <v>85</v>
      </c>
      <c r="H90" s="1059">
        <f t="shared" si="27"/>
        <v>80</v>
      </c>
      <c r="I90" s="1060">
        <f t="shared" si="1"/>
        <v>-0.25</v>
      </c>
      <c r="J90" s="1057">
        <f t="shared" si="27"/>
        <v>60</v>
      </c>
      <c r="K90" s="1059">
        <f t="shared" si="27"/>
        <v>38.1</v>
      </c>
      <c r="L90" s="1059">
        <f t="shared" si="27"/>
        <v>80</v>
      </c>
      <c r="M90" s="1059">
        <f t="shared" si="27"/>
        <v>80</v>
      </c>
      <c r="N90" s="3000"/>
      <c r="O90" s="2396"/>
      <c r="P90" s="2345"/>
      <c r="Q90" s="2345"/>
      <c r="R90" s="2345"/>
      <c r="S90" s="2345"/>
      <c r="T90" s="2345"/>
      <c r="U90" s="2344"/>
      <c r="V90" s="2344"/>
      <c r="Y90" s="84"/>
      <c r="Z90" s="84"/>
    </row>
    <row r="91" spans="1:26" ht="61.9" customHeight="1">
      <c r="A91" s="1017" t="s">
        <v>2260</v>
      </c>
      <c r="B91" s="954" t="s">
        <v>1307</v>
      </c>
      <c r="C91" s="1017"/>
      <c r="D91" s="954"/>
      <c r="E91" s="1094">
        <f>SUM(E94,E108,E113,E124)</f>
        <v>2019.183</v>
      </c>
      <c r="F91" s="2062">
        <f t="shared" si="18"/>
        <v>-0.73087085222092296</v>
      </c>
      <c r="G91" s="2042">
        <f>SUM(G94,G108,G113,G124,G97)</f>
        <v>891.91800000000001</v>
      </c>
      <c r="H91" s="1095">
        <f>SUM(H94,H108,H113,H124,H97)</f>
        <v>543.42100000000005</v>
      </c>
      <c r="I91" s="1096">
        <f t="shared" si="1"/>
        <v>-1</v>
      </c>
      <c r="J91" s="1094"/>
      <c r="K91" s="1095">
        <f>SUM(K94,K108,K113,K124,K97)</f>
        <v>578</v>
      </c>
      <c r="L91" s="1095">
        <f>SUM(L94,L108,L113,L124,L97)</f>
        <v>552.91999999999996</v>
      </c>
      <c r="M91" s="1095">
        <f>SUM(M94,M108,M113,M124,M97)</f>
        <v>1540.08</v>
      </c>
      <c r="N91" s="1457" t="s">
        <v>1017</v>
      </c>
      <c r="O91" s="954"/>
      <c r="P91" s="1017" t="s">
        <v>1692</v>
      </c>
      <c r="Q91" s="954" t="s">
        <v>356</v>
      </c>
      <c r="R91" s="1017">
        <v>1</v>
      </c>
      <c r="S91" s="954">
        <v>1</v>
      </c>
      <c r="T91" s="1017">
        <v>1</v>
      </c>
      <c r="U91" s="1017"/>
      <c r="V91" s="954" t="s">
        <v>2384</v>
      </c>
      <c r="Y91" s="84"/>
      <c r="Z91" s="84"/>
    </row>
    <row r="92" spans="1:26" ht="31.15" hidden="1" customHeight="1">
      <c r="A92" s="3592" t="s">
        <v>2222</v>
      </c>
      <c r="B92" s="3554" t="s">
        <v>2943</v>
      </c>
      <c r="C92" s="3555">
        <v>188711925</v>
      </c>
      <c r="D92" s="2063" t="s">
        <v>471</v>
      </c>
      <c r="E92" s="2064"/>
      <c r="F92" s="2065"/>
      <c r="G92" s="2066"/>
      <c r="H92" s="2067"/>
      <c r="I92" s="2068"/>
      <c r="J92" s="2064"/>
      <c r="K92" s="2067"/>
      <c r="L92" s="2067"/>
      <c r="M92" s="2067"/>
      <c r="N92" s="3559" t="s">
        <v>2385</v>
      </c>
      <c r="O92" s="3556" t="s">
        <v>2944</v>
      </c>
      <c r="P92" s="3505" t="s">
        <v>1693</v>
      </c>
      <c r="Q92" s="3505" t="s">
        <v>1485</v>
      </c>
      <c r="R92" s="3505" t="s">
        <v>434</v>
      </c>
      <c r="S92" s="3505" t="s">
        <v>434</v>
      </c>
      <c r="T92" s="3505" t="s">
        <v>434</v>
      </c>
      <c r="U92" s="2069"/>
      <c r="V92" s="3505" t="s">
        <v>1485</v>
      </c>
      <c r="Y92" s="84"/>
      <c r="Z92" s="84"/>
    </row>
    <row r="93" spans="1:26" ht="39.75" hidden="1" customHeight="1">
      <c r="A93" s="3592"/>
      <c r="B93" s="3554"/>
      <c r="C93" s="3555"/>
      <c r="D93" s="2063" t="s">
        <v>246</v>
      </c>
      <c r="E93" s="2064"/>
      <c r="F93" s="2065"/>
      <c r="G93" s="2066"/>
      <c r="H93" s="2067"/>
      <c r="I93" s="2068"/>
      <c r="J93" s="2064"/>
      <c r="K93" s="2067"/>
      <c r="L93" s="2067"/>
      <c r="M93" s="2067"/>
      <c r="N93" s="3560"/>
      <c r="O93" s="3557"/>
      <c r="P93" s="3506"/>
      <c r="Q93" s="3506"/>
      <c r="R93" s="3506"/>
      <c r="S93" s="3506"/>
      <c r="T93" s="3506"/>
      <c r="U93" s="2070"/>
      <c r="V93" s="3506"/>
      <c r="Y93" s="84"/>
      <c r="Z93" s="84"/>
    </row>
    <row r="94" spans="1:26" ht="43.5" hidden="1" customHeight="1">
      <c r="A94" s="3592"/>
      <c r="B94" s="3554"/>
      <c r="C94" s="3555"/>
      <c r="D94" s="2071" t="s">
        <v>1076</v>
      </c>
      <c r="E94" s="2064">
        <f>E92</f>
        <v>0</v>
      </c>
      <c r="F94" s="2065"/>
      <c r="G94" s="2066">
        <f t="shared" ref="G94:L94" si="28">G92</f>
        <v>0</v>
      </c>
      <c r="H94" s="2067">
        <f t="shared" si="28"/>
        <v>0</v>
      </c>
      <c r="I94" s="2068"/>
      <c r="J94" s="2064"/>
      <c r="K94" s="2067">
        <f t="shared" si="28"/>
        <v>0</v>
      </c>
      <c r="L94" s="2067">
        <f t="shared" si="28"/>
        <v>0</v>
      </c>
      <c r="M94" s="2067"/>
      <c r="N94" s="3561"/>
      <c r="O94" s="3558"/>
      <c r="P94" s="3506"/>
      <c r="Q94" s="3506"/>
      <c r="R94" s="3506"/>
      <c r="S94" s="3506"/>
      <c r="T94" s="3506"/>
      <c r="U94" s="2070"/>
      <c r="V94" s="3518"/>
      <c r="Y94" s="84"/>
      <c r="Z94" s="84"/>
    </row>
    <row r="95" spans="1:26" ht="33" customHeight="1">
      <c r="A95" s="2727" t="s">
        <v>2676</v>
      </c>
      <c r="B95" s="2575" t="s">
        <v>2871</v>
      </c>
      <c r="C95" s="2881">
        <v>188711925</v>
      </c>
      <c r="D95" s="1082" t="s">
        <v>471</v>
      </c>
      <c r="E95" s="1051"/>
      <c r="F95" s="1424"/>
      <c r="G95" s="1317">
        <v>21</v>
      </c>
      <c r="H95" s="1053">
        <v>21</v>
      </c>
      <c r="I95" s="1604">
        <f t="shared" si="1"/>
        <v>4.7142857142857144</v>
      </c>
      <c r="J95" s="1051">
        <f>SUM(J98,J101,J104)</f>
        <v>120</v>
      </c>
      <c r="K95" s="1053">
        <f>120-20</f>
        <v>100</v>
      </c>
      <c r="L95" s="1053">
        <v>552.91999999999996</v>
      </c>
      <c r="M95" s="1053">
        <v>785.08</v>
      </c>
      <c r="N95" s="2998" t="s">
        <v>2388</v>
      </c>
      <c r="O95" s="2349" t="s">
        <v>3942</v>
      </c>
      <c r="P95" s="2343" t="s">
        <v>1693</v>
      </c>
      <c r="Q95" s="2343" t="s">
        <v>2678</v>
      </c>
      <c r="R95" s="2343" t="s">
        <v>324</v>
      </c>
      <c r="S95" s="2343" t="s">
        <v>324</v>
      </c>
      <c r="T95" s="2343" t="s">
        <v>324</v>
      </c>
      <c r="U95" s="2343" t="s">
        <v>324</v>
      </c>
      <c r="V95" s="2343" t="s">
        <v>2677</v>
      </c>
      <c r="W95" s="91" t="s">
        <v>2786</v>
      </c>
      <c r="Y95" s="84"/>
      <c r="Z95" s="84"/>
    </row>
    <row r="96" spans="1:26" ht="33.75" customHeight="1">
      <c r="A96" s="2727"/>
      <c r="B96" s="2575"/>
      <c r="C96" s="2881"/>
      <c r="D96" s="1082" t="s">
        <v>246</v>
      </c>
      <c r="E96" s="1051"/>
      <c r="F96" s="1424"/>
      <c r="G96" s="1317"/>
      <c r="H96" s="1053"/>
      <c r="I96" s="1604"/>
      <c r="J96" s="1051">
        <f>SUM(J99,J102)</f>
        <v>0</v>
      </c>
      <c r="K96" s="1053">
        <f t="shared" ref="K96:M96" si="29">SUM(K99,K102)</f>
        <v>0</v>
      </c>
      <c r="L96" s="1053">
        <f t="shared" si="29"/>
        <v>0</v>
      </c>
      <c r="M96" s="1053">
        <f t="shared" si="29"/>
        <v>0</v>
      </c>
      <c r="N96" s="2999"/>
      <c r="O96" s="2363"/>
      <c r="P96" s="2345"/>
      <c r="Q96" s="2345"/>
      <c r="R96" s="2345"/>
      <c r="S96" s="2345"/>
      <c r="T96" s="2345"/>
      <c r="U96" s="2345"/>
      <c r="V96" s="2345"/>
      <c r="Y96" s="84"/>
      <c r="Z96" s="84"/>
    </row>
    <row r="97" spans="1:26" ht="35.25" customHeight="1">
      <c r="A97" s="2727"/>
      <c r="B97" s="2575"/>
      <c r="C97" s="2881"/>
      <c r="D97" s="1083" t="s">
        <v>1076</v>
      </c>
      <c r="E97" s="1057">
        <f>E95</f>
        <v>0</v>
      </c>
      <c r="F97" s="1407" t="e">
        <f t="shared" ref="F97" si="30">(H97-E97)/E97</f>
        <v>#DIV/0!</v>
      </c>
      <c r="G97" s="2046">
        <f t="shared" ref="G97:M97" si="31">G95</f>
        <v>21</v>
      </c>
      <c r="H97" s="1059">
        <f t="shared" si="31"/>
        <v>21</v>
      </c>
      <c r="I97" s="1060">
        <f t="shared" si="1"/>
        <v>4.7142857142857144</v>
      </c>
      <c r="J97" s="1057">
        <f t="shared" si="31"/>
        <v>120</v>
      </c>
      <c r="K97" s="1059">
        <f t="shared" si="31"/>
        <v>100</v>
      </c>
      <c r="L97" s="1059">
        <f t="shared" si="31"/>
        <v>552.91999999999996</v>
      </c>
      <c r="M97" s="1059">
        <f t="shared" si="31"/>
        <v>785.08</v>
      </c>
      <c r="N97" s="3000"/>
      <c r="O97" s="2401"/>
      <c r="P97" s="2345"/>
      <c r="Q97" s="2345"/>
      <c r="R97" s="2345"/>
      <c r="S97" s="2345"/>
      <c r="T97" s="2345"/>
      <c r="U97" s="2344"/>
      <c r="V97" s="2344"/>
      <c r="Y97" s="84"/>
      <c r="Z97" s="84"/>
    </row>
    <row r="98" spans="1:26" ht="33" hidden="1" customHeight="1">
      <c r="A98" s="2788" t="s">
        <v>3423</v>
      </c>
      <c r="B98" s="3563" t="s">
        <v>3424</v>
      </c>
      <c r="C98" s="3564">
        <v>188711925</v>
      </c>
      <c r="D98" s="1072" t="s">
        <v>471</v>
      </c>
      <c r="E98" s="1120"/>
      <c r="F98" s="2010"/>
      <c r="G98" s="2072">
        <v>21</v>
      </c>
      <c r="H98" s="1075"/>
      <c r="I98" s="1126"/>
      <c r="J98" s="1120">
        <v>80</v>
      </c>
      <c r="K98" s="1075"/>
      <c r="L98" s="989">
        <v>612.91999999999996</v>
      </c>
      <c r="M98" s="989">
        <v>845</v>
      </c>
      <c r="N98" s="3017" t="s">
        <v>2388</v>
      </c>
      <c r="O98" s="3565" t="s">
        <v>3425</v>
      </c>
      <c r="P98" s="2743" t="s">
        <v>1693</v>
      </c>
      <c r="Q98" s="2743" t="s">
        <v>2678</v>
      </c>
      <c r="R98" s="2743" t="s">
        <v>324</v>
      </c>
      <c r="S98" s="2743" t="s">
        <v>324</v>
      </c>
      <c r="T98" s="2743" t="s">
        <v>324</v>
      </c>
      <c r="U98" s="1014"/>
      <c r="V98" s="2743" t="s">
        <v>2677</v>
      </c>
      <c r="W98" s="91" t="s">
        <v>2786</v>
      </c>
      <c r="Y98" s="84"/>
      <c r="Z98" s="84"/>
    </row>
    <row r="99" spans="1:26" ht="33.75" hidden="1" customHeight="1">
      <c r="A99" s="2788"/>
      <c r="B99" s="3563"/>
      <c r="C99" s="3564"/>
      <c r="D99" s="1072" t="s">
        <v>246</v>
      </c>
      <c r="E99" s="1120"/>
      <c r="F99" s="2010"/>
      <c r="G99" s="2072"/>
      <c r="H99" s="1075"/>
      <c r="I99" s="1126"/>
      <c r="J99" s="1120"/>
      <c r="K99" s="1075"/>
      <c r="L99" s="1075"/>
      <c r="M99" s="1075"/>
      <c r="N99" s="3018"/>
      <c r="O99" s="3566"/>
      <c r="P99" s="3128"/>
      <c r="Q99" s="3128"/>
      <c r="R99" s="3128"/>
      <c r="S99" s="3128"/>
      <c r="T99" s="3128"/>
      <c r="U99" s="1027"/>
      <c r="V99" s="3128"/>
      <c r="Y99" s="84"/>
      <c r="Z99" s="84"/>
    </row>
    <row r="100" spans="1:26" ht="21.75" hidden="1" customHeight="1">
      <c r="A100" s="2788"/>
      <c r="B100" s="3563"/>
      <c r="C100" s="3564"/>
      <c r="D100" s="2073" t="s">
        <v>1076</v>
      </c>
      <c r="E100" s="1406">
        <f>E98</f>
        <v>0</v>
      </c>
      <c r="F100" s="1423" t="e">
        <f t="shared" ref="F100" si="32">(H100-E100)/E100</f>
        <v>#DIV/0!</v>
      </c>
      <c r="G100" s="2074">
        <f t="shared" ref="G100:M100" si="33">G98</f>
        <v>21</v>
      </c>
      <c r="H100" s="1405">
        <f t="shared" si="33"/>
        <v>0</v>
      </c>
      <c r="I100" s="2061"/>
      <c r="J100" s="1406">
        <f t="shared" si="33"/>
        <v>80</v>
      </c>
      <c r="K100" s="1405">
        <f t="shared" si="33"/>
        <v>0</v>
      </c>
      <c r="L100" s="1405">
        <f t="shared" si="33"/>
        <v>612.91999999999996</v>
      </c>
      <c r="M100" s="1405">
        <f t="shared" si="33"/>
        <v>845</v>
      </c>
      <c r="N100" s="3019"/>
      <c r="O100" s="3567"/>
      <c r="P100" s="3128"/>
      <c r="Q100" s="3128"/>
      <c r="R100" s="3128"/>
      <c r="S100" s="3128"/>
      <c r="T100" s="3128"/>
      <c r="U100" s="1027"/>
      <c r="V100" s="2744"/>
      <c r="Y100" s="84"/>
      <c r="Z100" s="84"/>
    </row>
    <row r="101" spans="1:26" ht="33" hidden="1" customHeight="1">
      <c r="A101" s="2788" t="s">
        <v>3427</v>
      </c>
      <c r="B101" s="3563" t="s">
        <v>3426</v>
      </c>
      <c r="C101" s="3564">
        <v>188711925</v>
      </c>
      <c r="D101" s="1072" t="s">
        <v>471</v>
      </c>
      <c r="E101" s="1120"/>
      <c r="F101" s="2010"/>
      <c r="G101" s="2072">
        <v>21</v>
      </c>
      <c r="H101" s="1075"/>
      <c r="I101" s="1126"/>
      <c r="J101" s="1120">
        <v>20</v>
      </c>
      <c r="K101" s="1075"/>
      <c r="L101" s="1075"/>
      <c r="M101" s="1075"/>
      <c r="N101" s="3017" t="s">
        <v>2388</v>
      </c>
      <c r="O101" s="3594" t="s">
        <v>3060</v>
      </c>
      <c r="P101" s="2743" t="s">
        <v>1693</v>
      </c>
      <c r="Q101" s="2743" t="s">
        <v>2678</v>
      </c>
      <c r="R101" s="2743" t="s">
        <v>324</v>
      </c>
      <c r="S101" s="2743" t="s">
        <v>324</v>
      </c>
      <c r="T101" s="2743" t="s">
        <v>324</v>
      </c>
      <c r="U101" s="1014"/>
      <c r="V101" s="2743" t="s">
        <v>2677</v>
      </c>
      <c r="W101" s="91" t="s">
        <v>2786</v>
      </c>
      <c r="Y101" s="84"/>
      <c r="Z101" s="84"/>
    </row>
    <row r="102" spans="1:26" ht="33.75" hidden="1" customHeight="1">
      <c r="A102" s="2788"/>
      <c r="B102" s="3563"/>
      <c r="C102" s="3564"/>
      <c r="D102" s="1072" t="s">
        <v>246</v>
      </c>
      <c r="E102" s="1120"/>
      <c r="F102" s="2010"/>
      <c r="G102" s="2072"/>
      <c r="H102" s="1075"/>
      <c r="I102" s="1126"/>
      <c r="J102" s="1120"/>
      <c r="K102" s="1075"/>
      <c r="L102" s="1075"/>
      <c r="M102" s="1075"/>
      <c r="N102" s="3018"/>
      <c r="O102" s="3566"/>
      <c r="P102" s="3128"/>
      <c r="Q102" s="3128"/>
      <c r="R102" s="3128"/>
      <c r="S102" s="3128"/>
      <c r="T102" s="3128"/>
      <c r="U102" s="1027"/>
      <c r="V102" s="3128"/>
      <c r="Y102" s="84"/>
      <c r="Z102" s="84"/>
    </row>
    <row r="103" spans="1:26" ht="27" hidden="1" customHeight="1">
      <c r="A103" s="2788"/>
      <c r="B103" s="3563"/>
      <c r="C103" s="3564"/>
      <c r="D103" s="2073" t="s">
        <v>1076</v>
      </c>
      <c r="E103" s="1406">
        <f>E101</f>
        <v>0</v>
      </c>
      <c r="F103" s="1423" t="e">
        <f t="shared" ref="F103" si="34">(H103-E103)/E103</f>
        <v>#DIV/0!</v>
      </c>
      <c r="G103" s="2074">
        <f t="shared" ref="G103:M103" si="35">G101</f>
        <v>21</v>
      </c>
      <c r="H103" s="1405">
        <f t="shared" si="35"/>
        <v>0</v>
      </c>
      <c r="I103" s="2061"/>
      <c r="J103" s="1406">
        <f t="shared" si="35"/>
        <v>20</v>
      </c>
      <c r="K103" s="1405">
        <f t="shared" si="35"/>
        <v>0</v>
      </c>
      <c r="L103" s="1405">
        <f t="shared" si="35"/>
        <v>0</v>
      </c>
      <c r="M103" s="1405">
        <f t="shared" si="35"/>
        <v>0</v>
      </c>
      <c r="N103" s="3019"/>
      <c r="O103" s="3567"/>
      <c r="P103" s="3128"/>
      <c r="Q103" s="3128"/>
      <c r="R103" s="3128"/>
      <c r="S103" s="3128"/>
      <c r="T103" s="3128"/>
      <c r="U103" s="1027"/>
      <c r="V103" s="2744"/>
      <c r="Y103" s="84"/>
      <c r="Z103" s="84"/>
    </row>
    <row r="104" spans="1:26" ht="33" hidden="1" customHeight="1">
      <c r="A104" s="2788" t="s">
        <v>3427</v>
      </c>
      <c r="B104" s="3563" t="s">
        <v>3543</v>
      </c>
      <c r="C104" s="3564">
        <v>188711925</v>
      </c>
      <c r="D104" s="1072" t="s">
        <v>471</v>
      </c>
      <c r="E104" s="1120"/>
      <c r="F104" s="2010"/>
      <c r="G104" s="2072">
        <v>21</v>
      </c>
      <c r="H104" s="1075"/>
      <c r="I104" s="1126"/>
      <c r="J104" s="1120">
        <v>20</v>
      </c>
      <c r="K104" s="1075"/>
      <c r="L104" s="1075">
        <v>0</v>
      </c>
      <c r="M104" s="1075"/>
      <c r="N104" s="3017" t="s">
        <v>2388</v>
      </c>
      <c r="O104" s="3565" t="s">
        <v>3060</v>
      </c>
      <c r="P104" s="2743" t="s">
        <v>1693</v>
      </c>
      <c r="Q104" s="2743" t="s">
        <v>2678</v>
      </c>
      <c r="R104" s="2743" t="s">
        <v>324</v>
      </c>
      <c r="S104" s="2743" t="s">
        <v>324</v>
      </c>
      <c r="T104" s="2743" t="s">
        <v>324</v>
      </c>
      <c r="U104" s="1014"/>
      <c r="V104" s="2743" t="s">
        <v>2677</v>
      </c>
      <c r="W104" s="91" t="s">
        <v>2786</v>
      </c>
      <c r="Y104" s="84"/>
      <c r="Z104" s="84"/>
    </row>
    <row r="105" spans="1:26" ht="33.75" hidden="1" customHeight="1">
      <c r="A105" s="2788"/>
      <c r="B105" s="3563"/>
      <c r="C105" s="3564"/>
      <c r="D105" s="1072" t="s">
        <v>246</v>
      </c>
      <c r="E105" s="1120"/>
      <c r="F105" s="2010"/>
      <c r="G105" s="2072"/>
      <c r="H105" s="1075"/>
      <c r="I105" s="1126"/>
      <c r="J105" s="1120"/>
      <c r="K105" s="1075"/>
      <c r="L105" s="1075"/>
      <c r="M105" s="1075"/>
      <c r="N105" s="3018"/>
      <c r="O105" s="3566"/>
      <c r="P105" s="3128"/>
      <c r="Q105" s="3128"/>
      <c r="R105" s="3128"/>
      <c r="S105" s="3128"/>
      <c r="T105" s="3128"/>
      <c r="U105" s="1027"/>
      <c r="V105" s="3128"/>
      <c r="Y105" s="84"/>
      <c r="Z105" s="84"/>
    </row>
    <row r="106" spans="1:26" ht="25.5" hidden="1" customHeight="1">
      <c r="A106" s="2788"/>
      <c r="B106" s="3563"/>
      <c r="C106" s="3564"/>
      <c r="D106" s="2073" t="s">
        <v>1076</v>
      </c>
      <c r="E106" s="1406">
        <f>E104</f>
        <v>0</v>
      </c>
      <c r="F106" s="1423" t="e">
        <f t="shared" ref="F106" si="36">(H106-E106)/E106</f>
        <v>#DIV/0!</v>
      </c>
      <c r="G106" s="2074">
        <f t="shared" ref="G106:H106" si="37">G104</f>
        <v>21</v>
      </c>
      <c r="H106" s="1405">
        <f t="shared" si="37"/>
        <v>0</v>
      </c>
      <c r="I106" s="2061"/>
      <c r="J106" s="1406">
        <f t="shared" ref="J106:M106" si="38">J104</f>
        <v>20</v>
      </c>
      <c r="K106" s="1405">
        <f t="shared" si="38"/>
        <v>0</v>
      </c>
      <c r="L106" s="1405">
        <f t="shared" si="38"/>
        <v>0</v>
      </c>
      <c r="M106" s="1405">
        <f t="shared" si="38"/>
        <v>0</v>
      </c>
      <c r="N106" s="3019"/>
      <c r="O106" s="3567"/>
      <c r="P106" s="3128"/>
      <c r="Q106" s="3128"/>
      <c r="R106" s="3128"/>
      <c r="S106" s="3128"/>
      <c r="T106" s="3128"/>
      <c r="U106" s="1027"/>
      <c r="V106" s="2744"/>
      <c r="Y106" s="84"/>
      <c r="Z106" s="84"/>
    </row>
    <row r="107" spans="1:26" ht="64.5" hidden="1" customHeight="1">
      <c r="A107" s="2997" t="s">
        <v>2223</v>
      </c>
      <c r="B107" s="3562" t="s">
        <v>2945</v>
      </c>
      <c r="C107" s="3521">
        <v>188711925</v>
      </c>
      <c r="D107" s="1753" t="s">
        <v>2928</v>
      </c>
      <c r="E107" s="1713">
        <v>135</v>
      </c>
      <c r="F107" s="2075">
        <f t="shared" si="18"/>
        <v>-0.85185185185185186</v>
      </c>
      <c r="G107" s="2076">
        <v>20</v>
      </c>
      <c r="H107" s="1497">
        <v>20</v>
      </c>
      <c r="I107" s="2061">
        <f t="shared" ref="I107:I172" si="39">J107/H107-1</f>
        <v>-1</v>
      </c>
      <c r="J107" s="1495"/>
      <c r="K107" s="1497"/>
      <c r="L107" s="1497"/>
      <c r="M107" s="1497"/>
      <c r="N107" s="3027" t="s">
        <v>2312</v>
      </c>
      <c r="O107" s="2857" t="s">
        <v>3428</v>
      </c>
      <c r="P107" s="2852" t="s">
        <v>1694</v>
      </c>
      <c r="Q107" s="2852" t="s">
        <v>2946</v>
      </c>
      <c r="R107" s="2852" t="s">
        <v>2586</v>
      </c>
      <c r="S107" s="2852" t="s">
        <v>434</v>
      </c>
      <c r="T107" s="2852" t="s">
        <v>434</v>
      </c>
      <c r="U107" s="1501"/>
      <c r="V107" s="2852" t="s">
        <v>1485</v>
      </c>
      <c r="Y107" s="84"/>
      <c r="Z107" s="84"/>
    </row>
    <row r="108" spans="1:26" ht="51.75" hidden="1" customHeight="1">
      <c r="A108" s="2997"/>
      <c r="B108" s="3562"/>
      <c r="C108" s="3521"/>
      <c r="D108" s="1758" t="s">
        <v>1076</v>
      </c>
      <c r="E108" s="1495">
        <f>E107</f>
        <v>135</v>
      </c>
      <c r="F108" s="1496">
        <f t="shared" si="18"/>
        <v>-0.85185185185185186</v>
      </c>
      <c r="G108" s="2052">
        <f t="shared" ref="G108:L108" si="40">G107</f>
        <v>20</v>
      </c>
      <c r="H108" s="1497">
        <f t="shared" si="40"/>
        <v>20</v>
      </c>
      <c r="I108" s="2061">
        <f t="shared" si="39"/>
        <v>-1</v>
      </c>
      <c r="J108" s="1495"/>
      <c r="K108" s="1497">
        <f t="shared" si="40"/>
        <v>0</v>
      </c>
      <c r="L108" s="1497">
        <f t="shared" si="40"/>
        <v>0</v>
      </c>
      <c r="M108" s="1497"/>
      <c r="N108" s="3029"/>
      <c r="O108" s="2920"/>
      <c r="P108" s="2917"/>
      <c r="Q108" s="2917"/>
      <c r="R108" s="2917"/>
      <c r="S108" s="2917"/>
      <c r="T108" s="2917"/>
      <c r="U108" s="1655"/>
      <c r="V108" s="2918"/>
      <c r="Y108" s="84"/>
      <c r="Z108" s="84"/>
    </row>
    <row r="109" spans="1:26" ht="36.75" customHeight="1">
      <c r="A109" s="2727" t="s">
        <v>2224</v>
      </c>
      <c r="B109" s="2575" t="s">
        <v>702</v>
      </c>
      <c r="C109" s="2881">
        <v>188711925</v>
      </c>
      <c r="D109" s="1082" t="s">
        <v>2928</v>
      </c>
      <c r="E109" s="1051">
        <v>538.55999999999995</v>
      </c>
      <c r="F109" s="1424">
        <f t="shared" si="18"/>
        <v>-0.30369875222816395</v>
      </c>
      <c r="G109" s="1317">
        <v>800</v>
      </c>
      <c r="H109" s="1053">
        <f>400-25</f>
        <v>375</v>
      </c>
      <c r="I109" s="1604">
        <f t="shared" si="39"/>
        <v>-1</v>
      </c>
      <c r="J109" s="1051"/>
      <c r="K109" s="1053"/>
      <c r="L109" s="1053"/>
      <c r="M109" s="1053"/>
      <c r="N109" s="2998" t="s">
        <v>2386</v>
      </c>
      <c r="O109" s="2349" t="s">
        <v>4030</v>
      </c>
      <c r="P109" s="2343" t="s">
        <v>1695</v>
      </c>
      <c r="Q109" s="2343" t="s">
        <v>2947</v>
      </c>
      <c r="R109" s="2343" t="s">
        <v>324</v>
      </c>
      <c r="S109" s="2343" t="s">
        <v>324</v>
      </c>
      <c r="T109" s="2343" t="s">
        <v>434</v>
      </c>
      <c r="U109" s="2343"/>
      <c r="V109" s="2343" t="s">
        <v>2387</v>
      </c>
      <c r="Y109" s="84"/>
      <c r="Z109" s="84"/>
    </row>
    <row r="110" spans="1:26" ht="29.25" customHeight="1">
      <c r="A110" s="2727"/>
      <c r="B110" s="2575"/>
      <c r="C110" s="2881"/>
      <c r="D110" s="1082" t="s">
        <v>471</v>
      </c>
      <c r="E110" s="1051"/>
      <c r="F110" s="1424"/>
      <c r="G110" s="1317"/>
      <c r="H110" s="1053"/>
      <c r="I110" s="1604"/>
      <c r="J110" s="1051">
        <f>SUM(J114,J115,J116,J117,J118,J119)</f>
        <v>533</v>
      </c>
      <c r="K110" s="1053">
        <f>SUM(K114,K115,K116,K117,K118,K119)</f>
        <v>478</v>
      </c>
      <c r="L110" s="1053">
        <f t="shared" ref="L110:M110" si="41">SUM(L114,L115,L116,L117,L118,L119)</f>
        <v>0</v>
      </c>
      <c r="M110" s="1053">
        <f t="shared" si="41"/>
        <v>755</v>
      </c>
      <c r="N110" s="2999"/>
      <c r="O110" s="2363"/>
      <c r="P110" s="2345"/>
      <c r="Q110" s="2345"/>
      <c r="R110" s="2345"/>
      <c r="S110" s="2345"/>
      <c r="T110" s="2345"/>
      <c r="U110" s="2345"/>
      <c r="V110" s="2345"/>
      <c r="Y110" s="84"/>
      <c r="Z110" s="84"/>
    </row>
    <row r="111" spans="1:26" ht="30.75" customHeight="1">
      <c r="A111" s="2727"/>
      <c r="B111" s="2575"/>
      <c r="C111" s="2881"/>
      <c r="D111" s="1082" t="s">
        <v>413</v>
      </c>
      <c r="E111" s="1051">
        <v>420</v>
      </c>
      <c r="F111" s="1424">
        <f t="shared" si="18"/>
        <v>-1</v>
      </c>
      <c r="G111" s="1317"/>
      <c r="H111" s="1053"/>
      <c r="I111" s="1604"/>
      <c r="J111" s="1051"/>
      <c r="K111" s="1053"/>
      <c r="L111" s="1053"/>
      <c r="M111" s="1053"/>
      <c r="N111" s="2999"/>
      <c r="O111" s="2363"/>
      <c r="P111" s="2345"/>
      <c r="Q111" s="2345"/>
      <c r="R111" s="2345"/>
      <c r="S111" s="2345"/>
      <c r="T111" s="2345"/>
      <c r="U111" s="2345"/>
      <c r="V111" s="2345"/>
      <c r="Y111" s="84"/>
      <c r="Z111" s="84"/>
    </row>
    <row r="112" spans="1:26" ht="33" customHeight="1">
      <c r="A112" s="2727"/>
      <c r="B112" s="2575"/>
      <c r="C112" s="2881"/>
      <c r="D112" s="1082" t="s">
        <v>1394</v>
      </c>
      <c r="E112" s="1051">
        <v>130</v>
      </c>
      <c r="F112" s="1424">
        <f t="shared" si="18"/>
        <v>-1</v>
      </c>
      <c r="G112" s="1317"/>
      <c r="H112" s="1053"/>
      <c r="I112" s="1604"/>
      <c r="J112" s="1051"/>
      <c r="K112" s="1053"/>
      <c r="L112" s="1053"/>
      <c r="M112" s="1053"/>
      <c r="N112" s="2999"/>
      <c r="O112" s="2363"/>
      <c r="P112" s="2345"/>
      <c r="Q112" s="2345"/>
      <c r="R112" s="2345"/>
      <c r="S112" s="2345"/>
      <c r="T112" s="2345"/>
      <c r="U112" s="2345"/>
      <c r="V112" s="2345"/>
      <c r="Y112" s="84"/>
      <c r="Z112" s="84"/>
    </row>
    <row r="113" spans="1:26" ht="32.25" customHeight="1">
      <c r="A113" s="2901"/>
      <c r="B113" s="2575"/>
      <c r="C113" s="2882"/>
      <c r="D113" s="1083" t="s">
        <v>1076</v>
      </c>
      <c r="E113" s="1057">
        <f>SUM(E109:E112)</f>
        <v>1088.56</v>
      </c>
      <c r="F113" s="1407">
        <f t="shared" si="18"/>
        <v>-0.65550819431175134</v>
      </c>
      <c r="G113" s="2046">
        <f t="shared" ref="G113:M113" si="42">SUM(G109:G112)</f>
        <v>800</v>
      </c>
      <c r="H113" s="1059">
        <f t="shared" si="42"/>
        <v>375</v>
      </c>
      <c r="I113" s="1060">
        <f t="shared" si="39"/>
        <v>0.42133333333333334</v>
      </c>
      <c r="J113" s="1057">
        <f t="shared" si="42"/>
        <v>533</v>
      </c>
      <c r="K113" s="1059">
        <f t="shared" si="42"/>
        <v>478</v>
      </c>
      <c r="L113" s="1059">
        <f t="shared" si="42"/>
        <v>0</v>
      </c>
      <c r="M113" s="1059">
        <f t="shared" si="42"/>
        <v>755</v>
      </c>
      <c r="N113" s="3000"/>
      <c r="O113" s="2401"/>
      <c r="P113" s="2345"/>
      <c r="Q113" s="2345"/>
      <c r="R113" s="2345"/>
      <c r="S113" s="2345"/>
      <c r="T113" s="2345"/>
      <c r="U113" s="2344"/>
      <c r="V113" s="2345"/>
      <c r="Y113" s="84"/>
      <c r="Z113" s="84"/>
    </row>
    <row r="114" spans="1:26" ht="57.75" hidden="1" customHeight="1">
      <c r="A114" s="2077"/>
      <c r="B114" s="1591" t="s">
        <v>3430</v>
      </c>
      <c r="C114" s="2078"/>
      <c r="D114" s="1431"/>
      <c r="E114" s="1120"/>
      <c r="F114" s="2010"/>
      <c r="G114" s="2072"/>
      <c r="H114" s="1075"/>
      <c r="I114" s="1067"/>
      <c r="J114" s="1120">
        <v>45</v>
      </c>
      <c r="K114" s="989">
        <v>45</v>
      </c>
      <c r="L114" s="1120"/>
      <c r="M114" s="1075"/>
      <c r="N114" s="1719"/>
      <c r="O114" s="1009" t="s">
        <v>3429</v>
      </c>
      <c r="P114" s="1011"/>
      <c r="Q114" s="1011"/>
      <c r="R114" s="1011"/>
      <c r="S114" s="1011"/>
      <c r="T114" s="1011"/>
      <c r="U114" s="1011"/>
      <c r="V114" s="1011"/>
      <c r="Y114" s="84"/>
      <c r="Z114" s="84"/>
    </row>
    <row r="115" spans="1:26" ht="48.75" hidden="1" customHeight="1">
      <c r="A115" s="2077"/>
      <c r="B115" s="1591" t="s">
        <v>3431</v>
      </c>
      <c r="C115" s="2078"/>
      <c r="D115" s="1431"/>
      <c r="E115" s="1120"/>
      <c r="F115" s="2010"/>
      <c r="G115" s="2072"/>
      <c r="H115" s="1075"/>
      <c r="I115" s="1067"/>
      <c r="J115" s="1120">
        <v>250</v>
      </c>
      <c r="K115" s="989">
        <v>250</v>
      </c>
      <c r="L115" s="1120"/>
      <c r="M115" s="1075"/>
      <c r="N115" s="1719"/>
      <c r="O115" s="1068"/>
      <c r="P115" s="1011"/>
      <c r="Q115" s="1011"/>
      <c r="R115" s="1011"/>
      <c r="S115" s="1011"/>
      <c r="T115" s="1011"/>
      <c r="U115" s="1011"/>
      <c r="V115" s="1011"/>
      <c r="Y115" s="84"/>
      <c r="Z115" s="84"/>
    </row>
    <row r="116" spans="1:26" ht="42" hidden="1" customHeight="1">
      <c r="A116" s="2077"/>
      <c r="B116" s="1591" t="s">
        <v>3432</v>
      </c>
      <c r="C116" s="2078"/>
      <c r="D116" s="1431"/>
      <c r="E116" s="1120"/>
      <c r="F116" s="2010"/>
      <c r="G116" s="2072"/>
      <c r="H116" s="1075"/>
      <c r="I116" s="1067"/>
      <c r="J116" s="1120">
        <v>34</v>
      </c>
      <c r="K116" s="989">
        <v>34</v>
      </c>
      <c r="L116" s="1120"/>
      <c r="M116" s="1075"/>
      <c r="N116" s="1719"/>
      <c r="O116" s="1068"/>
      <c r="P116" s="1011"/>
      <c r="Q116" s="1011"/>
      <c r="R116" s="1011"/>
      <c r="S116" s="1011"/>
      <c r="T116" s="1011"/>
      <c r="U116" s="1011"/>
      <c r="V116" s="1011"/>
      <c r="Y116" s="84"/>
      <c r="Z116" s="84"/>
    </row>
    <row r="117" spans="1:26" ht="48.75" hidden="1" customHeight="1">
      <c r="A117" s="2077"/>
      <c r="B117" s="1591" t="s">
        <v>3433</v>
      </c>
      <c r="C117" s="2078"/>
      <c r="D117" s="1431"/>
      <c r="E117" s="1120"/>
      <c r="F117" s="2010"/>
      <c r="G117" s="2072"/>
      <c r="H117" s="1075"/>
      <c r="I117" s="1067"/>
      <c r="J117" s="1120">
        <v>140</v>
      </c>
      <c r="K117" s="989">
        <v>140</v>
      </c>
      <c r="L117" s="2079"/>
      <c r="M117" s="1120"/>
      <c r="N117" s="1719"/>
      <c r="O117" s="1068"/>
      <c r="P117" s="1011"/>
      <c r="Q117" s="1011"/>
      <c r="R117" s="1011"/>
      <c r="S117" s="1011"/>
      <c r="T117" s="1011"/>
      <c r="U117" s="1011"/>
      <c r="V117" s="1011"/>
      <c r="Y117" s="84"/>
      <c r="Z117" s="84"/>
    </row>
    <row r="118" spans="1:26" ht="52.5" hidden="1" customHeight="1">
      <c r="A118" s="2077"/>
      <c r="B118" s="1591" t="s">
        <v>3434</v>
      </c>
      <c r="C118" s="2078"/>
      <c r="D118" s="1431"/>
      <c r="E118" s="1120"/>
      <c r="F118" s="2010"/>
      <c r="G118" s="2072"/>
      <c r="H118" s="1075"/>
      <c r="I118" s="1067"/>
      <c r="J118" s="1120">
        <v>9</v>
      </c>
      <c r="K118" s="989">
        <v>9</v>
      </c>
      <c r="L118" s="1120"/>
      <c r="M118" s="1075"/>
      <c r="N118" s="1719"/>
      <c r="O118" s="1068"/>
      <c r="P118" s="1011"/>
      <c r="Q118" s="1011"/>
      <c r="R118" s="1011"/>
      <c r="S118" s="1011"/>
      <c r="T118" s="1011"/>
      <c r="U118" s="1011"/>
      <c r="V118" s="1011"/>
      <c r="Y118" s="84"/>
      <c r="Z118" s="84"/>
    </row>
    <row r="119" spans="1:26" ht="52.5" hidden="1" customHeight="1">
      <c r="A119" s="2077"/>
      <c r="B119" s="2080" t="s">
        <v>3435</v>
      </c>
      <c r="C119" s="2078"/>
      <c r="D119" s="1431"/>
      <c r="E119" s="1120"/>
      <c r="F119" s="2010"/>
      <c r="G119" s="2072"/>
      <c r="H119" s="1075"/>
      <c r="I119" s="1067"/>
      <c r="J119" s="1120">
        <v>55</v>
      </c>
      <c r="K119" s="989">
        <v>0</v>
      </c>
      <c r="L119" s="1075">
        <v>0</v>
      </c>
      <c r="M119" s="1075">
        <v>755</v>
      </c>
      <c r="N119" s="1719"/>
      <c r="O119" s="1009" t="s">
        <v>3436</v>
      </c>
      <c r="P119" s="1011"/>
      <c r="Q119" s="1011"/>
      <c r="R119" s="1011"/>
      <c r="S119" s="1011"/>
      <c r="T119" s="1011"/>
      <c r="U119" s="1011"/>
      <c r="V119" s="1011"/>
      <c r="Y119" s="84"/>
      <c r="Z119" s="84"/>
    </row>
    <row r="120" spans="1:26" ht="25.5" hidden="1" customHeight="1">
      <c r="A120" s="2997" t="s">
        <v>2225</v>
      </c>
      <c r="B120" s="3026" t="s">
        <v>2948</v>
      </c>
      <c r="C120" s="3521">
        <v>188711925</v>
      </c>
      <c r="D120" s="1753" t="s">
        <v>2928</v>
      </c>
      <c r="E120" s="1495">
        <v>1</v>
      </c>
      <c r="F120" s="1496">
        <f t="shared" si="18"/>
        <v>75.453999999999994</v>
      </c>
      <c r="G120" s="2052">
        <v>50.917999999999999</v>
      </c>
      <c r="H120" s="1497">
        <v>76.453999999999994</v>
      </c>
      <c r="I120" s="2061"/>
      <c r="J120" s="1495"/>
      <c r="K120" s="1497"/>
      <c r="L120" s="1497"/>
      <c r="M120" s="1497"/>
      <c r="N120" s="3027" t="s">
        <v>2388</v>
      </c>
      <c r="O120" s="2857" t="s">
        <v>3221</v>
      </c>
      <c r="P120" s="2852" t="s">
        <v>1696</v>
      </c>
      <c r="Q120" s="2852" t="s">
        <v>1629</v>
      </c>
      <c r="R120" s="2852" t="s">
        <v>324</v>
      </c>
      <c r="S120" s="2852" t="s">
        <v>434</v>
      </c>
      <c r="T120" s="2852" t="s">
        <v>434</v>
      </c>
      <c r="U120" s="1501"/>
      <c r="V120" s="2852" t="s">
        <v>2389</v>
      </c>
      <c r="Y120" s="84"/>
      <c r="Z120" s="84"/>
    </row>
    <row r="121" spans="1:26" ht="24" hidden="1" customHeight="1">
      <c r="A121" s="2997"/>
      <c r="B121" s="3581"/>
      <c r="C121" s="3025"/>
      <c r="D121" s="1754" t="s">
        <v>413</v>
      </c>
      <c r="E121" s="1500">
        <v>429.791</v>
      </c>
      <c r="F121" s="1496">
        <f t="shared" si="18"/>
        <v>-1</v>
      </c>
      <c r="G121" s="2081"/>
      <c r="H121" s="1497"/>
      <c r="I121" s="2061"/>
      <c r="J121" s="1495"/>
      <c r="K121" s="1497"/>
      <c r="L121" s="1497"/>
      <c r="M121" s="1497"/>
      <c r="N121" s="3028"/>
      <c r="O121" s="2858"/>
      <c r="P121" s="2917"/>
      <c r="Q121" s="2917"/>
      <c r="R121" s="2917"/>
      <c r="S121" s="2917"/>
      <c r="T121" s="2917"/>
      <c r="U121" s="1655"/>
      <c r="V121" s="2917"/>
      <c r="Y121" s="84"/>
      <c r="Z121" s="84"/>
    </row>
    <row r="122" spans="1:26" ht="31.5" hidden="1" customHeight="1">
      <c r="A122" s="2997"/>
      <c r="B122" s="3581"/>
      <c r="C122" s="3025"/>
      <c r="D122" s="1754" t="s">
        <v>1394</v>
      </c>
      <c r="E122" s="1500">
        <v>157.74199999999999</v>
      </c>
      <c r="F122" s="1496">
        <f t="shared" si="18"/>
        <v>-0.8386035424934386</v>
      </c>
      <c r="G122" s="2081"/>
      <c r="H122" s="1497">
        <v>25.459</v>
      </c>
      <c r="I122" s="2061"/>
      <c r="J122" s="1495"/>
      <c r="K122" s="1497"/>
      <c r="L122" s="1812"/>
      <c r="M122" s="1812"/>
      <c r="N122" s="3028"/>
      <c r="O122" s="2858"/>
      <c r="P122" s="2917"/>
      <c r="Q122" s="2917"/>
      <c r="R122" s="2917"/>
      <c r="S122" s="2917"/>
      <c r="T122" s="2917"/>
      <c r="U122" s="1655"/>
      <c r="V122" s="2917"/>
      <c r="Y122" s="84"/>
      <c r="Z122" s="84"/>
    </row>
    <row r="123" spans="1:26" ht="30" hidden="1" customHeight="1">
      <c r="A123" s="2997"/>
      <c r="B123" s="3581"/>
      <c r="C123" s="3025"/>
      <c r="D123" s="1754" t="s">
        <v>246</v>
      </c>
      <c r="E123" s="1500">
        <v>207.09</v>
      </c>
      <c r="F123" s="1496">
        <f t="shared" si="18"/>
        <v>-0.87682650055531408</v>
      </c>
      <c r="G123" s="2081"/>
      <c r="H123" s="1497">
        <v>25.507999999999999</v>
      </c>
      <c r="I123" s="2061"/>
      <c r="J123" s="1495"/>
      <c r="K123" s="1497"/>
      <c r="L123" s="1497"/>
      <c r="M123" s="1497"/>
      <c r="N123" s="3028"/>
      <c r="O123" s="2858"/>
      <c r="P123" s="2917"/>
      <c r="Q123" s="2917"/>
      <c r="R123" s="2917"/>
      <c r="S123" s="2917"/>
      <c r="T123" s="2917"/>
      <c r="U123" s="1655"/>
      <c r="V123" s="2917"/>
      <c r="Y123" s="84"/>
      <c r="Z123" s="84"/>
    </row>
    <row r="124" spans="1:26" ht="39" hidden="1" customHeight="1">
      <c r="A124" s="3593"/>
      <c r="B124" s="3581"/>
      <c r="C124" s="3582"/>
      <c r="D124" s="1755" t="s">
        <v>1076</v>
      </c>
      <c r="E124" s="1500">
        <f>SUM(E120:E123)</f>
        <v>795.62300000000005</v>
      </c>
      <c r="F124" s="1496">
        <f t="shared" si="18"/>
        <v>-0.83984751572038507</v>
      </c>
      <c r="G124" s="2081">
        <f t="shared" ref="G124:L124" si="43">SUM(G120:G123)</f>
        <v>50.917999999999999</v>
      </c>
      <c r="H124" s="1497">
        <f>SUM(H120:H123)</f>
        <v>127.42099999999999</v>
      </c>
      <c r="I124" s="2061"/>
      <c r="J124" s="1495"/>
      <c r="K124" s="1497">
        <f>SUM(K120:K123)</f>
        <v>0</v>
      </c>
      <c r="L124" s="1497">
        <f t="shared" si="43"/>
        <v>0</v>
      </c>
      <c r="M124" s="1497"/>
      <c r="N124" s="3029"/>
      <c r="O124" s="2920"/>
      <c r="P124" s="2917"/>
      <c r="Q124" s="2917"/>
      <c r="R124" s="2917"/>
      <c r="S124" s="2917"/>
      <c r="T124" s="2917"/>
      <c r="U124" s="1655"/>
      <c r="V124" s="2918"/>
      <c r="Y124" s="84"/>
      <c r="Z124" s="84"/>
    </row>
    <row r="125" spans="1:26" ht="62.45" customHeight="1">
      <c r="A125" s="954" t="s">
        <v>2259</v>
      </c>
      <c r="B125" s="954" t="s">
        <v>1308</v>
      </c>
      <c r="C125" s="1017"/>
      <c r="D125" s="1017"/>
      <c r="E125" s="1046">
        <f>SUM(E127,E129,E131,E136,E149,E160)</f>
        <v>4076.2029999999995</v>
      </c>
      <c r="F125" s="1368">
        <f t="shared" si="18"/>
        <v>-0.95975421243740799</v>
      </c>
      <c r="G125" s="2082">
        <f>SUM(G127,G129,G131,G136,G149,G160)</f>
        <v>203.05</v>
      </c>
      <c r="H125" s="1006">
        <f>SUM(H127,H129,H131,H136,H149,H160)</f>
        <v>164.05</v>
      </c>
      <c r="I125" s="1096">
        <f t="shared" si="39"/>
        <v>0.88357208168241375</v>
      </c>
      <c r="J125" s="1006">
        <f>SUM(J127,J129,J131,J136,J149,J160)</f>
        <v>309</v>
      </c>
      <c r="K125" s="1006">
        <f>SUM(K127,K129,K131,K136,K149,K160)</f>
        <v>360.57</v>
      </c>
      <c r="L125" s="1006">
        <f>SUM(L127,L129,L131,L136,L149,L160)</f>
        <v>590</v>
      </c>
      <c r="M125" s="1006">
        <f>SUM(M127,M129,M131,M136,M149,M160)</f>
        <v>100</v>
      </c>
      <c r="N125" s="2083" t="s">
        <v>999</v>
      </c>
      <c r="O125" s="954"/>
      <c r="P125" s="954"/>
      <c r="Q125" s="954"/>
      <c r="R125" s="954"/>
      <c r="S125" s="954">
        <v>3</v>
      </c>
      <c r="T125" s="954">
        <v>3</v>
      </c>
      <c r="U125" s="954"/>
      <c r="V125" s="954" t="s">
        <v>2391</v>
      </c>
      <c r="Y125" s="84"/>
      <c r="Z125" s="84"/>
    </row>
    <row r="126" spans="1:26" ht="42" hidden="1" customHeight="1">
      <c r="A126" s="3577" t="s">
        <v>2226</v>
      </c>
      <c r="B126" s="3583" t="s">
        <v>1309</v>
      </c>
      <c r="C126" s="3598">
        <v>188711925</v>
      </c>
      <c r="D126" s="2084" t="s">
        <v>471</v>
      </c>
      <c r="E126" s="2085">
        <v>0</v>
      </c>
      <c r="F126" s="2086"/>
      <c r="G126" s="2087"/>
      <c r="H126" s="2088"/>
      <c r="I126" s="1096" t="e">
        <f t="shared" si="39"/>
        <v>#DIV/0!</v>
      </c>
      <c r="J126" s="2089"/>
      <c r="K126" s="2088"/>
      <c r="L126" s="2088"/>
      <c r="M126" s="2088"/>
      <c r="N126" s="3590"/>
      <c r="O126" s="3600" t="s">
        <v>2455</v>
      </c>
      <c r="P126" s="3489" t="s">
        <v>1697</v>
      </c>
      <c r="Q126" s="3489"/>
      <c r="R126" s="3489"/>
      <c r="S126" s="3489"/>
      <c r="T126" s="3489"/>
      <c r="U126" s="2090"/>
      <c r="V126" s="3519"/>
      <c r="Y126" s="84"/>
      <c r="Z126" s="84"/>
    </row>
    <row r="127" spans="1:26" ht="42" hidden="1" customHeight="1">
      <c r="A127" s="3577"/>
      <c r="B127" s="3579">
        <f>SUM(B126:B126)</f>
        <v>0</v>
      </c>
      <c r="C127" s="3599">
        <f>SUM(C126:C126)</f>
        <v>188711925</v>
      </c>
      <c r="D127" s="2091" t="s">
        <v>1076</v>
      </c>
      <c r="E127" s="2089">
        <f>E126</f>
        <v>0</v>
      </c>
      <c r="F127" s="2086"/>
      <c r="G127" s="2092">
        <f t="shared" ref="G127:L127" si="44">G126</f>
        <v>0</v>
      </c>
      <c r="H127" s="2088">
        <f t="shared" si="44"/>
        <v>0</v>
      </c>
      <c r="I127" s="1096" t="e">
        <f t="shared" si="39"/>
        <v>#DIV/0!</v>
      </c>
      <c r="J127" s="2089"/>
      <c r="K127" s="2088">
        <f t="shared" si="44"/>
        <v>0</v>
      </c>
      <c r="L127" s="2088">
        <f t="shared" si="44"/>
        <v>0</v>
      </c>
      <c r="M127" s="2088"/>
      <c r="N127" s="3591"/>
      <c r="O127" s="3601"/>
      <c r="P127" s="3490"/>
      <c r="Q127" s="3490"/>
      <c r="R127" s="3490"/>
      <c r="S127" s="3490"/>
      <c r="T127" s="3490"/>
      <c r="U127" s="2093"/>
      <c r="V127" s="3520"/>
      <c r="Y127" s="84"/>
      <c r="Z127" s="84"/>
    </row>
    <row r="128" spans="1:26" ht="42" hidden="1" customHeight="1">
      <c r="A128" s="3577" t="s">
        <v>2227</v>
      </c>
      <c r="B128" s="3579" t="s">
        <v>1310</v>
      </c>
      <c r="C128" s="3599">
        <v>188711925</v>
      </c>
      <c r="D128" s="2094" t="s">
        <v>471</v>
      </c>
      <c r="E128" s="2089">
        <v>0</v>
      </c>
      <c r="F128" s="2086"/>
      <c r="G128" s="2092"/>
      <c r="H128" s="2088"/>
      <c r="I128" s="1096" t="e">
        <f t="shared" si="39"/>
        <v>#DIV/0!</v>
      </c>
      <c r="J128" s="2089"/>
      <c r="K128" s="2088"/>
      <c r="L128" s="2088"/>
      <c r="M128" s="2088"/>
      <c r="N128" s="2095"/>
      <c r="O128" s="3600" t="s">
        <v>2589</v>
      </c>
      <c r="P128" s="3489" t="s">
        <v>1698</v>
      </c>
      <c r="Q128" s="3489"/>
      <c r="R128" s="3489"/>
      <c r="S128" s="3489"/>
      <c r="T128" s="3489"/>
      <c r="U128" s="2090"/>
      <c r="V128" s="3519"/>
      <c r="Y128" s="84"/>
      <c r="Z128" s="84"/>
    </row>
    <row r="129" spans="1:26" ht="42" hidden="1" customHeight="1">
      <c r="A129" s="3578"/>
      <c r="B129" s="3580">
        <f>SUM(B128:B128)</f>
        <v>0</v>
      </c>
      <c r="C129" s="3602">
        <f>SUM(C128:C128)</f>
        <v>188711925</v>
      </c>
      <c r="D129" s="2096" t="s">
        <v>1076</v>
      </c>
      <c r="E129" s="2097">
        <f>E128</f>
        <v>0</v>
      </c>
      <c r="F129" s="2098"/>
      <c r="G129" s="2099">
        <f t="shared" ref="G129:L129" si="45">G128</f>
        <v>0</v>
      </c>
      <c r="H129" s="2100">
        <f t="shared" si="45"/>
        <v>0</v>
      </c>
      <c r="I129" s="2101" t="e">
        <f t="shared" si="39"/>
        <v>#DIV/0!</v>
      </c>
      <c r="J129" s="2097"/>
      <c r="K129" s="2100">
        <f t="shared" si="45"/>
        <v>0</v>
      </c>
      <c r="L129" s="2100">
        <f t="shared" si="45"/>
        <v>0</v>
      </c>
      <c r="M129" s="2100"/>
      <c r="N129" s="2102"/>
      <c r="O129" s="3603"/>
      <c r="P129" s="3490"/>
      <c r="Q129" s="3490"/>
      <c r="R129" s="3490"/>
      <c r="S129" s="3490"/>
      <c r="T129" s="3490"/>
      <c r="U129" s="2093"/>
      <c r="V129" s="3597"/>
      <c r="Y129" s="84"/>
      <c r="Z129" s="84"/>
    </row>
    <row r="130" spans="1:26" ht="42" customHeight="1">
      <c r="A130" s="2739" t="s">
        <v>2228</v>
      </c>
      <c r="B130" s="2366" t="s">
        <v>1627</v>
      </c>
      <c r="C130" s="2392">
        <v>188711925</v>
      </c>
      <c r="D130" s="1035" t="s">
        <v>471</v>
      </c>
      <c r="E130" s="1051">
        <v>12</v>
      </c>
      <c r="F130" s="1424">
        <f t="shared" si="18"/>
        <v>5.666666666666667</v>
      </c>
      <c r="G130" s="1051">
        <v>60</v>
      </c>
      <c r="H130" s="1053">
        <v>80</v>
      </c>
      <c r="I130" s="1604">
        <f t="shared" si="39"/>
        <v>0.44999999999999996</v>
      </c>
      <c r="J130" s="1051">
        <f>SUM(J132,J133)</f>
        <v>116</v>
      </c>
      <c r="K130" s="1053">
        <f>SUM(K132,K133,K134)</f>
        <v>90</v>
      </c>
      <c r="L130" s="1053">
        <f t="shared" ref="L130:M130" si="46">SUM(L132,L133,L134)</f>
        <v>250</v>
      </c>
      <c r="M130" s="1053">
        <f t="shared" si="46"/>
        <v>0</v>
      </c>
      <c r="N130" s="2850" t="s">
        <v>2392</v>
      </c>
      <c r="O130" s="2395" t="s">
        <v>4031</v>
      </c>
      <c r="P130" s="2342" t="s">
        <v>1699</v>
      </c>
      <c r="Q130" s="2342" t="s">
        <v>2588</v>
      </c>
      <c r="R130" s="2342" t="s">
        <v>324</v>
      </c>
      <c r="S130" s="2342" t="s">
        <v>324</v>
      </c>
      <c r="T130" s="2342" t="s">
        <v>324</v>
      </c>
      <c r="U130" s="2342" t="s">
        <v>324</v>
      </c>
      <c r="V130" s="2342" t="s">
        <v>2390</v>
      </c>
      <c r="Y130" s="84"/>
      <c r="Z130" s="84"/>
    </row>
    <row r="131" spans="1:26" ht="39" customHeight="1">
      <c r="A131" s="2739"/>
      <c r="B131" s="2366">
        <f>SUM(B130:B130)</f>
        <v>0</v>
      </c>
      <c r="C131" s="2392">
        <f>SUM(C130:C130)</f>
        <v>188711925</v>
      </c>
      <c r="D131" s="1056" t="s">
        <v>1076</v>
      </c>
      <c r="E131" s="1057">
        <f>E130</f>
        <v>12</v>
      </c>
      <c r="F131" s="1407">
        <f t="shared" si="18"/>
        <v>5.666666666666667</v>
      </c>
      <c r="G131" s="1057">
        <f t="shared" ref="G131:M131" si="47">G130</f>
        <v>60</v>
      </c>
      <c r="H131" s="1059">
        <f t="shared" si="47"/>
        <v>80</v>
      </c>
      <c r="I131" s="1060">
        <f t="shared" si="39"/>
        <v>0.44999999999999996</v>
      </c>
      <c r="J131" s="1057">
        <f t="shared" si="47"/>
        <v>116</v>
      </c>
      <c r="K131" s="1059">
        <f t="shared" si="47"/>
        <v>90</v>
      </c>
      <c r="L131" s="1059">
        <f t="shared" si="47"/>
        <v>250</v>
      </c>
      <c r="M131" s="1059">
        <f t="shared" si="47"/>
        <v>0</v>
      </c>
      <c r="N131" s="2850"/>
      <c r="O131" s="2396"/>
      <c r="P131" s="2342"/>
      <c r="Q131" s="2342"/>
      <c r="R131" s="2342"/>
      <c r="S131" s="2342"/>
      <c r="T131" s="2342"/>
      <c r="U131" s="2342"/>
      <c r="V131" s="2342"/>
      <c r="Y131" s="84"/>
      <c r="Z131" s="84"/>
    </row>
    <row r="132" spans="1:26" ht="73.900000000000006" hidden="1" customHeight="1">
      <c r="A132" s="1417" t="s">
        <v>3943</v>
      </c>
      <c r="B132" s="1811" t="s">
        <v>3437</v>
      </c>
      <c r="C132" s="1547"/>
      <c r="D132" s="1022"/>
      <c r="E132" s="1120"/>
      <c r="F132" s="2010"/>
      <c r="G132" s="1120"/>
      <c r="H132" s="1075"/>
      <c r="I132" s="1067"/>
      <c r="J132" s="1068">
        <v>56</v>
      </c>
      <c r="K132" s="989">
        <v>30</v>
      </c>
      <c r="L132" s="989">
        <v>200</v>
      </c>
      <c r="M132" s="989">
        <v>0</v>
      </c>
      <c r="N132" s="1075"/>
      <c r="O132" s="989"/>
      <c r="P132" s="1011"/>
      <c r="Q132" s="1011"/>
      <c r="R132" s="1011"/>
      <c r="S132" s="1011"/>
      <c r="T132" s="1011"/>
      <c r="U132" s="1011"/>
      <c r="V132" s="1011"/>
      <c r="Y132" s="84"/>
      <c r="Z132" s="84"/>
    </row>
    <row r="133" spans="1:26" ht="51" hidden="1" customHeight="1">
      <c r="A133" s="1011" t="s">
        <v>3958</v>
      </c>
      <c r="B133" s="957" t="s">
        <v>3438</v>
      </c>
      <c r="C133" s="1547"/>
      <c r="D133" s="1022"/>
      <c r="E133" s="1120"/>
      <c r="F133" s="2010"/>
      <c r="G133" s="1120"/>
      <c r="H133" s="1075"/>
      <c r="I133" s="1067"/>
      <c r="J133" s="1068">
        <v>60</v>
      </c>
      <c r="K133" s="989">
        <v>50</v>
      </c>
      <c r="L133" s="989">
        <v>50</v>
      </c>
      <c r="M133" s="989"/>
      <c r="N133" s="1075"/>
      <c r="O133" s="989"/>
      <c r="P133" s="1011"/>
      <c r="Q133" s="1011"/>
      <c r="R133" s="1011"/>
      <c r="S133" s="1011"/>
      <c r="T133" s="1011"/>
      <c r="U133" s="1011"/>
      <c r="V133" s="1011"/>
      <c r="Y133" s="84"/>
      <c r="Z133" s="84"/>
    </row>
    <row r="134" spans="1:26" ht="36" hidden="1" customHeight="1">
      <c r="A134" s="1417"/>
      <c r="B134" s="957" t="s">
        <v>3959</v>
      </c>
      <c r="C134" s="1547"/>
      <c r="D134" s="1022"/>
      <c r="E134" s="1120"/>
      <c r="F134" s="2010"/>
      <c r="G134" s="1120"/>
      <c r="H134" s="1075"/>
      <c r="I134" s="1067"/>
      <c r="J134" s="1068"/>
      <c r="K134" s="989">
        <v>10</v>
      </c>
      <c r="L134" s="989"/>
      <c r="M134" s="989"/>
      <c r="N134" s="1075"/>
      <c r="O134" s="989"/>
      <c r="P134" s="1011"/>
      <c r="Q134" s="1011"/>
      <c r="R134" s="1011"/>
      <c r="S134" s="1011"/>
      <c r="T134" s="1011"/>
      <c r="U134" s="1011"/>
      <c r="V134" s="1011"/>
      <c r="Y134" s="84"/>
      <c r="Z134" s="84"/>
    </row>
    <row r="135" spans="1:26" s="292" customFormat="1" ht="35.450000000000003" customHeight="1">
      <c r="A135" s="3588" t="s">
        <v>2229</v>
      </c>
      <c r="B135" s="3607" t="s">
        <v>1311</v>
      </c>
      <c r="C135" s="3589">
        <v>188711925</v>
      </c>
      <c r="D135" s="2103" t="s">
        <v>471</v>
      </c>
      <c r="E135" s="2104">
        <f>SUM(E137,E140)</f>
        <v>0</v>
      </c>
      <c r="F135" s="2105" t="e">
        <f t="shared" si="18"/>
        <v>#DIV/0!</v>
      </c>
      <c r="G135" s="2104">
        <f>SUM(G137,G140)</f>
        <v>0</v>
      </c>
      <c r="H135" s="1718">
        <f t="shared" ref="H135" si="48">SUM(H137,H140)</f>
        <v>0</v>
      </c>
      <c r="I135" s="1604"/>
      <c r="J135" s="1051">
        <f>10+60</f>
        <v>70</v>
      </c>
      <c r="K135" s="1718">
        <f>SUM(K137,K140,K143,K144,K145,K146)</f>
        <v>122</v>
      </c>
      <c r="L135" s="1718">
        <f t="shared" ref="L135:M135" si="49">SUM(L137,L140,L143,L144,L145)</f>
        <v>240</v>
      </c>
      <c r="M135" s="1718">
        <f t="shared" si="49"/>
        <v>0</v>
      </c>
      <c r="N135" s="1718" t="s">
        <v>2388</v>
      </c>
      <c r="O135" s="3608" t="s">
        <v>3945</v>
      </c>
      <c r="P135" s="2777" t="s">
        <v>1700</v>
      </c>
      <c r="Q135" s="2777" t="s">
        <v>336</v>
      </c>
      <c r="R135" s="2777" t="s">
        <v>434</v>
      </c>
      <c r="S135" s="2777" t="s">
        <v>324</v>
      </c>
      <c r="T135" s="2777" t="s">
        <v>324</v>
      </c>
      <c r="U135" s="3486" t="s">
        <v>324</v>
      </c>
      <c r="V135" s="2777" t="s">
        <v>2389</v>
      </c>
    </row>
    <row r="136" spans="1:26" s="292" customFormat="1" ht="42" customHeight="1">
      <c r="A136" s="3588"/>
      <c r="B136" s="3607">
        <f>SUM(B135:B135)</f>
        <v>0</v>
      </c>
      <c r="C136" s="3589">
        <f>SUM(C135:C135)</f>
        <v>188711925</v>
      </c>
      <c r="D136" s="2106" t="s">
        <v>1076</v>
      </c>
      <c r="E136" s="1736">
        <f>E135</f>
        <v>0</v>
      </c>
      <c r="F136" s="2107" t="e">
        <f t="shared" si="18"/>
        <v>#DIV/0!</v>
      </c>
      <c r="G136" s="1736">
        <f>G135</f>
        <v>0</v>
      </c>
      <c r="H136" s="1059">
        <f t="shared" ref="H136:M136" si="50">H135</f>
        <v>0</v>
      </c>
      <c r="I136" s="1059">
        <f t="shared" si="50"/>
        <v>0</v>
      </c>
      <c r="J136" s="1059">
        <f t="shared" si="50"/>
        <v>70</v>
      </c>
      <c r="K136" s="1059">
        <f t="shared" si="50"/>
        <v>122</v>
      </c>
      <c r="L136" s="1059">
        <f t="shared" si="50"/>
        <v>240</v>
      </c>
      <c r="M136" s="1059">
        <f t="shared" si="50"/>
        <v>0</v>
      </c>
      <c r="N136" s="1718"/>
      <c r="O136" s="3609"/>
      <c r="P136" s="2777"/>
      <c r="Q136" s="2777"/>
      <c r="R136" s="2777"/>
      <c r="S136" s="2777"/>
      <c r="T136" s="2777"/>
      <c r="U136" s="2776"/>
      <c r="V136" s="2777"/>
    </row>
    <row r="137" spans="1:26" s="291" customFormat="1" ht="30" hidden="1" customHeight="1">
      <c r="A137" s="2986"/>
      <c r="B137" s="2563" t="s">
        <v>3944</v>
      </c>
      <c r="C137" s="3584"/>
      <c r="D137" s="1002" t="s">
        <v>471</v>
      </c>
      <c r="E137" s="1127"/>
      <c r="F137" s="1427"/>
      <c r="G137" s="1882"/>
      <c r="H137" s="989"/>
      <c r="I137" s="1183"/>
      <c r="J137" s="1068"/>
      <c r="K137" s="989">
        <v>0</v>
      </c>
      <c r="L137" s="989">
        <v>40</v>
      </c>
      <c r="M137" s="989"/>
      <c r="N137" s="3585"/>
      <c r="O137" s="2699"/>
      <c r="P137" s="3454"/>
      <c r="Q137" s="3454"/>
      <c r="R137" s="3454"/>
      <c r="S137" s="3454"/>
      <c r="T137" s="3454"/>
      <c r="U137" s="1594"/>
      <c r="V137" s="3454"/>
    </row>
    <row r="138" spans="1:26" s="291" customFormat="1" ht="24.6" hidden="1" customHeight="1">
      <c r="A138" s="2986"/>
      <c r="B138" s="2563"/>
      <c r="C138" s="3584"/>
      <c r="D138" s="1002"/>
      <c r="E138" s="1127"/>
      <c r="F138" s="1427"/>
      <c r="G138" s="1882"/>
      <c r="H138" s="989"/>
      <c r="I138" s="1183"/>
      <c r="J138" s="1068"/>
      <c r="K138" s="989"/>
      <c r="L138" s="989"/>
      <c r="M138" s="989"/>
      <c r="N138" s="3586"/>
      <c r="O138" s="2700"/>
      <c r="P138" s="3455"/>
      <c r="Q138" s="3455"/>
      <c r="R138" s="3455"/>
      <c r="S138" s="3455"/>
      <c r="T138" s="3455"/>
      <c r="U138" s="1384"/>
      <c r="V138" s="3455"/>
    </row>
    <row r="139" spans="1:26" s="291" customFormat="1" ht="24.6" hidden="1" customHeight="1">
      <c r="A139" s="2986"/>
      <c r="B139" s="2563"/>
      <c r="C139" s="3584"/>
      <c r="D139" s="1716" t="s">
        <v>1076</v>
      </c>
      <c r="E139" s="1495">
        <f>SUM(E137:E138)</f>
        <v>0</v>
      </c>
      <c r="F139" s="1496" t="e">
        <f t="shared" ref="F139" si="51">(H139-E139)/E139</f>
        <v>#DIV/0!</v>
      </c>
      <c r="G139" s="2052">
        <f t="shared" ref="G139:K139" si="52">SUM(G137:G138)</f>
        <v>0</v>
      </c>
      <c r="H139" s="1421">
        <f t="shared" si="52"/>
        <v>0</v>
      </c>
      <c r="I139" s="2108"/>
      <c r="J139" s="1419"/>
      <c r="K139" s="1421">
        <f t="shared" si="52"/>
        <v>0</v>
      </c>
      <c r="L139" s="1421">
        <f>SUM(L137:L138)</f>
        <v>40</v>
      </c>
      <c r="M139" s="1421"/>
      <c r="N139" s="3587"/>
      <c r="O139" s="3423"/>
      <c r="P139" s="3455"/>
      <c r="Q139" s="3455"/>
      <c r="R139" s="3455"/>
      <c r="S139" s="3455"/>
      <c r="T139" s="3455"/>
      <c r="U139" s="1384"/>
      <c r="V139" s="3452"/>
    </row>
    <row r="140" spans="1:26" s="291" customFormat="1" ht="24.6" hidden="1" customHeight="1">
      <c r="A140" s="2986"/>
      <c r="B140" s="2563" t="s">
        <v>3059</v>
      </c>
      <c r="C140" s="3584">
        <v>188711925</v>
      </c>
      <c r="D140" s="1002" t="s">
        <v>471</v>
      </c>
      <c r="E140" s="1127"/>
      <c r="F140" s="1427"/>
      <c r="G140" s="1882"/>
      <c r="H140" s="989"/>
      <c r="I140" s="1183"/>
      <c r="J140" s="1068"/>
      <c r="K140" s="989">
        <v>0</v>
      </c>
      <c r="L140" s="989"/>
      <c r="M140" s="989"/>
      <c r="N140" s="3585"/>
      <c r="O140" s="2699"/>
      <c r="P140" s="3454"/>
      <c r="Q140" s="3454"/>
      <c r="R140" s="3454"/>
      <c r="S140" s="3454"/>
      <c r="T140" s="3454"/>
      <c r="U140" s="1594"/>
      <c r="V140" s="3454"/>
    </row>
    <row r="141" spans="1:26" s="291" customFormat="1" ht="24.6" hidden="1" customHeight="1">
      <c r="A141" s="2986"/>
      <c r="B141" s="2563"/>
      <c r="C141" s="3584"/>
      <c r="D141" s="1002"/>
      <c r="E141" s="1127"/>
      <c r="F141" s="1427"/>
      <c r="G141" s="1882"/>
      <c r="H141" s="989"/>
      <c r="I141" s="1183"/>
      <c r="J141" s="1068"/>
      <c r="K141" s="989"/>
      <c r="L141" s="989"/>
      <c r="M141" s="989"/>
      <c r="N141" s="3586"/>
      <c r="O141" s="2700"/>
      <c r="P141" s="3455"/>
      <c r="Q141" s="3455"/>
      <c r="R141" s="3455"/>
      <c r="S141" s="3455"/>
      <c r="T141" s="3455"/>
      <c r="U141" s="1384"/>
      <c r="V141" s="3455"/>
    </row>
    <row r="142" spans="1:26" s="291" customFormat="1" ht="24.6" hidden="1" customHeight="1">
      <c r="A142" s="2986"/>
      <c r="B142" s="2563"/>
      <c r="C142" s="3584">
        <f>SUM(C140:C140)</f>
        <v>188711925</v>
      </c>
      <c r="D142" s="1189" t="s">
        <v>1076</v>
      </c>
      <c r="E142" s="1127">
        <f>SUM(E140:E141)</f>
        <v>0</v>
      </c>
      <c r="F142" s="1427" t="e">
        <f t="shared" ref="F142" si="53">(H142-E142)/E142</f>
        <v>#DIV/0!</v>
      </c>
      <c r="G142" s="1882">
        <f t="shared" ref="G142:K142" si="54">SUM(G140:G141)</f>
        <v>0</v>
      </c>
      <c r="H142" s="989">
        <f t="shared" si="54"/>
        <v>0</v>
      </c>
      <c r="I142" s="1183"/>
      <c r="J142" s="1068"/>
      <c r="K142" s="989">
        <f t="shared" si="54"/>
        <v>0</v>
      </c>
      <c r="L142" s="989">
        <f>SUM(L140:L141)</f>
        <v>0</v>
      </c>
      <c r="M142" s="989"/>
      <c r="N142" s="3587"/>
      <c r="O142" s="3423"/>
      <c r="P142" s="3455"/>
      <c r="Q142" s="3455"/>
      <c r="R142" s="3455"/>
      <c r="S142" s="3455"/>
      <c r="T142" s="3455"/>
      <c r="U142" s="1384"/>
      <c r="V142" s="3452"/>
    </row>
    <row r="143" spans="1:26" s="291" customFormat="1" ht="27" hidden="1" customHeight="1">
      <c r="A143" s="1453"/>
      <c r="B143" s="957" t="s">
        <v>3832</v>
      </c>
      <c r="C143" s="1623"/>
      <c r="D143" s="1189"/>
      <c r="E143" s="1127"/>
      <c r="F143" s="1427"/>
      <c r="G143" s="1882"/>
      <c r="H143" s="989"/>
      <c r="I143" s="1183"/>
      <c r="J143" s="1068">
        <v>10</v>
      </c>
      <c r="K143" s="989">
        <v>10</v>
      </c>
      <c r="L143" s="989"/>
      <c r="M143" s="989"/>
      <c r="N143" s="1650"/>
      <c r="O143" s="1592"/>
      <c r="P143" s="1384"/>
      <c r="Q143" s="1384"/>
      <c r="R143" s="1384"/>
      <c r="S143" s="1384"/>
      <c r="T143" s="1384"/>
      <c r="U143" s="1384"/>
      <c r="V143" s="1384"/>
    </row>
    <row r="144" spans="1:26" s="291" customFormat="1" ht="69" hidden="1" customHeight="1">
      <c r="A144" s="1453"/>
      <c r="B144" s="957" t="s">
        <v>3556</v>
      </c>
      <c r="C144" s="1623"/>
      <c r="D144" s="1189"/>
      <c r="E144" s="1005"/>
      <c r="F144" s="1126"/>
      <c r="G144" s="1474"/>
      <c r="H144" s="989"/>
      <c r="I144" s="1183"/>
      <c r="J144" s="1068">
        <v>60</v>
      </c>
      <c r="K144" s="989">
        <v>60</v>
      </c>
      <c r="L144" s="989">
        <v>200</v>
      </c>
      <c r="M144" s="989"/>
      <c r="N144" s="1650"/>
      <c r="O144" s="1592"/>
      <c r="P144" s="1384"/>
      <c r="Q144" s="1384"/>
      <c r="R144" s="1384"/>
      <c r="S144" s="1384"/>
      <c r="T144" s="1384"/>
      <c r="U144" s="1384"/>
      <c r="V144" s="1384"/>
    </row>
    <row r="145" spans="1:26" s="291" customFormat="1" ht="22.9" hidden="1" customHeight="1">
      <c r="A145" s="1453"/>
      <c r="B145" s="957" t="s">
        <v>3833</v>
      </c>
      <c r="C145" s="1623"/>
      <c r="D145" s="1189"/>
      <c r="E145" s="1005"/>
      <c r="F145" s="1126"/>
      <c r="G145" s="1474"/>
      <c r="H145" s="989"/>
      <c r="I145" s="1183"/>
      <c r="J145" s="1068"/>
      <c r="K145" s="989">
        <v>30</v>
      </c>
      <c r="L145" s="989"/>
      <c r="M145" s="989"/>
      <c r="N145" s="1650"/>
      <c r="O145" s="1592"/>
      <c r="P145" s="1384"/>
      <c r="Q145" s="1384"/>
      <c r="R145" s="1384"/>
      <c r="S145" s="1384"/>
      <c r="T145" s="1384"/>
      <c r="U145" s="1384"/>
      <c r="V145" s="1384"/>
    </row>
    <row r="146" spans="1:26" s="291" customFormat="1" ht="38.25" hidden="1" customHeight="1">
      <c r="A146" s="1453"/>
      <c r="B146" s="957" t="s">
        <v>3960</v>
      </c>
      <c r="C146" s="1623"/>
      <c r="D146" s="1189"/>
      <c r="E146" s="1005"/>
      <c r="F146" s="1126"/>
      <c r="G146" s="1474"/>
      <c r="H146" s="989"/>
      <c r="I146" s="1183"/>
      <c r="J146" s="1068"/>
      <c r="K146" s="989">
        <v>22</v>
      </c>
      <c r="L146" s="989"/>
      <c r="M146" s="989"/>
      <c r="N146" s="1650"/>
      <c r="O146" s="1592"/>
      <c r="P146" s="1384"/>
      <c r="Q146" s="1384"/>
      <c r="R146" s="1384"/>
      <c r="S146" s="1384"/>
      <c r="T146" s="1384"/>
      <c r="U146" s="1384"/>
      <c r="V146" s="1384"/>
    </row>
    <row r="147" spans="1:26" ht="42.75" customHeight="1">
      <c r="A147" s="2739" t="s">
        <v>2230</v>
      </c>
      <c r="B147" s="2366" t="s">
        <v>1312</v>
      </c>
      <c r="C147" s="2392">
        <v>188711925</v>
      </c>
      <c r="D147" s="1035" t="s">
        <v>471</v>
      </c>
      <c r="E147" s="1051">
        <v>164.7</v>
      </c>
      <c r="F147" s="1424">
        <f t="shared" si="18"/>
        <v>-0.58409228901032173</v>
      </c>
      <c r="G147" s="1317">
        <v>137</v>
      </c>
      <c r="H147" s="1053">
        <v>68.5</v>
      </c>
      <c r="I147" s="1604">
        <f t="shared" si="39"/>
        <v>0.79562043795620441</v>
      </c>
      <c r="J147" s="1051">
        <f>SUM(J150,J151,J152,J153,J154)</f>
        <v>123</v>
      </c>
      <c r="K147" s="1053">
        <f>SUM(K150,K151,K152,K153,K154)</f>
        <v>145.26999999999998</v>
      </c>
      <c r="L147" s="1053">
        <f>SUM(L150,L151,L152,L153,L154)</f>
        <v>100</v>
      </c>
      <c r="M147" s="1053">
        <f>SUM(M150,M151,M152,M153,M154)</f>
        <v>100</v>
      </c>
      <c r="N147" s="2850" t="s">
        <v>2393</v>
      </c>
      <c r="O147" s="2395" t="s">
        <v>4032</v>
      </c>
      <c r="P147" s="2342" t="s">
        <v>1701</v>
      </c>
      <c r="Q147" s="2342" t="s">
        <v>1630</v>
      </c>
      <c r="R147" s="2342" t="s">
        <v>1338</v>
      </c>
      <c r="S147" s="2342" t="s">
        <v>1338</v>
      </c>
      <c r="T147" s="2342" t="s">
        <v>1409</v>
      </c>
      <c r="U147" s="2342" t="s">
        <v>1409</v>
      </c>
      <c r="V147" s="2342" t="s">
        <v>2590</v>
      </c>
      <c r="Y147" s="84"/>
      <c r="Z147" s="84"/>
    </row>
    <row r="148" spans="1:26" ht="45.75" customHeight="1">
      <c r="A148" s="2739"/>
      <c r="B148" s="2366"/>
      <c r="C148" s="2392"/>
      <c r="D148" s="1035" t="s">
        <v>1389</v>
      </c>
      <c r="E148" s="1051">
        <v>4</v>
      </c>
      <c r="F148" s="1424">
        <f t="shared" si="18"/>
        <v>1.375</v>
      </c>
      <c r="G148" s="1317"/>
      <c r="H148" s="1053">
        <f>H151+H150</f>
        <v>9.5</v>
      </c>
      <c r="I148" s="1604">
        <f t="shared" si="39"/>
        <v>-1</v>
      </c>
      <c r="J148" s="1051"/>
      <c r="K148" s="1053">
        <f>K165</f>
        <v>3.3</v>
      </c>
      <c r="L148" s="1053"/>
      <c r="M148" s="1053"/>
      <c r="N148" s="2850"/>
      <c r="O148" s="2502"/>
      <c r="P148" s="2342"/>
      <c r="Q148" s="2342"/>
      <c r="R148" s="2342"/>
      <c r="S148" s="2342"/>
      <c r="T148" s="2342"/>
      <c r="U148" s="2342"/>
      <c r="V148" s="2342"/>
      <c r="Y148" s="84"/>
      <c r="Z148" s="84"/>
    </row>
    <row r="149" spans="1:26" ht="75" customHeight="1">
      <c r="A149" s="2739"/>
      <c r="B149" s="2366"/>
      <c r="C149" s="2392">
        <f>SUM(C147:C147)</f>
        <v>188711925</v>
      </c>
      <c r="D149" s="1056" t="s">
        <v>1076</v>
      </c>
      <c r="E149" s="1057">
        <f>SUM(E147:E148)</f>
        <v>168.7</v>
      </c>
      <c r="F149" s="1407">
        <f t="shared" si="18"/>
        <v>-0.53764078245406044</v>
      </c>
      <c r="G149" s="2046">
        <f t="shared" ref="G149:M149" si="55">SUM(G147:G148)</f>
        <v>137</v>
      </c>
      <c r="H149" s="1059">
        <f t="shared" si="55"/>
        <v>78</v>
      </c>
      <c r="I149" s="1060">
        <f t="shared" si="39"/>
        <v>0.57692307692307687</v>
      </c>
      <c r="J149" s="1057">
        <f t="shared" si="55"/>
        <v>123</v>
      </c>
      <c r="K149" s="1059">
        <f t="shared" si="55"/>
        <v>148.57</v>
      </c>
      <c r="L149" s="1059">
        <f t="shared" si="55"/>
        <v>100</v>
      </c>
      <c r="M149" s="1059">
        <f t="shared" si="55"/>
        <v>100</v>
      </c>
      <c r="N149" s="2850"/>
      <c r="O149" s="2503"/>
      <c r="P149" s="2342"/>
      <c r="Q149" s="2342"/>
      <c r="R149" s="2342"/>
      <c r="S149" s="2342"/>
      <c r="T149" s="2342"/>
      <c r="U149" s="2342"/>
      <c r="V149" s="2342"/>
      <c r="Y149" s="84"/>
      <c r="Z149" s="84"/>
    </row>
    <row r="150" spans="1:26" ht="42" hidden="1" customHeight="1">
      <c r="A150" s="1453"/>
      <c r="B150" s="957" t="s">
        <v>1569</v>
      </c>
      <c r="C150" s="1547"/>
      <c r="D150" s="1022"/>
      <c r="E150" s="1120"/>
      <c r="F150" s="2010"/>
      <c r="G150" s="2072"/>
      <c r="H150" s="989">
        <v>5.6</v>
      </c>
      <c r="I150" s="1067"/>
      <c r="J150" s="1068"/>
      <c r="K150" s="1075"/>
      <c r="L150" s="1075"/>
      <c r="M150" s="1075"/>
      <c r="N150" s="1650"/>
      <c r="O150" s="1592"/>
      <c r="P150" s="1384"/>
      <c r="Q150" s="1384"/>
      <c r="R150" s="1384"/>
      <c r="S150" s="1384"/>
      <c r="T150" s="1442"/>
      <c r="U150" s="1442"/>
      <c r="V150" s="1384"/>
      <c r="Y150" s="84"/>
      <c r="Z150" s="84"/>
    </row>
    <row r="151" spans="1:26" ht="42" hidden="1" customHeight="1">
      <c r="A151" s="1453"/>
      <c r="B151" s="957" t="s">
        <v>1570</v>
      </c>
      <c r="C151" s="1547"/>
      <c r="D151" s="990" t="s">
        <v>1389</v>
      </c>
      <c r="E151" s="1068"/>
      <c r="F151" s="1394"/>
      <c r="G151" s="2047"/>
      <c r="H151" s="989">
        <v>3.9</v>
      </c>
      <c r="I151" s="1067"/>
      <c r="J151" s="1068"/>
      <c r="K151" s="1075"/>
      <c r="L151" s="1075"/>
      <c r="M151" s="1075"/>
      <c r="N151" s="1650"/>
      <c r="O151" s="1592"/>
      <c r="P151" s="1384"/>
      <c r="Q151" s="1384"/>
      <c r="R151" s="1384"/>
      <c r="S151" s="1384"/>
      <c r="T151" s="1442"/>
      <c r="U151" s="1442"/>
      <c r="V151" s="1384"/>
      <c r="Y151" s="84"/>
      <c r="Z151" s="84"/>
    </row>
    <row r="152" spans="1:26" ht="42" hidden="1" customHeight="1">
      <c r="A152" s="1453"/>
      <c r="B152" s="957" t="s">
        <v>3461</v>
      </c>
      <c r="C152" s="1547"/>
      <c r="D152" s="990"/>
      <c r="E152" s="1068"/>
      <c r="F152" s="1394"/>
      <c r="G152" s="2047"/>
      <c r="H152" s="989"/>
      <c r="I152" s="1067"/>
      <c r="J152" s="1068">
        <v>100</v>
      </c>
      <c r="K152" s="989">
        <v>122.27</v>
      </c>
      <c r="L152" s="989">
        <v>77</v>
      </c>
      <c r="M152" s="989">
        <v>77</v>
      </c>
      <c r="N152" s="1650"/>
      <c r="O152" s="1592"/>
      <c r="P152" s="1384"/>
      <c r="Q152" s="1384"/>
      <c r="R152" s="1384"/>
      <c r="S152" s="1384"/>
      <c r="T152" s="1442"/>
      <c r="U152" s="1442"/>
      <c r="V152" s="1384"/>
      <c r="Y152" s="84"/>
      <c r="Z152" s="84"/>
    </row>
    <row r="153" spans="1:26" ht="42" hidden="1" customHeight="1">
      <c r="A153" s="1453"/>
      <c r="B153" s="957" t="s">
        <v>3462</v>
      </c>
      <c r="C153" s="1547"/>
      <c r="D153" s="990"/>
      <c r="E153" s="1068"/>
      <c r="F153" s="1394"/>
      <c r="G153" s="2047"/>
      <c r="H153" s="989"/>
      <c r="I153" s="1067"/>
      <c r="J153" s="1068">
        <v>23</v>
      </c>
      <c r="K153" s="989">
        <v>23</v>
      </c>
      <c r="L153" s="989">
        <v>23</v>
      </c>
      <c r="M153" s="989">
        <v>23</v>
      </c>
      <c r="N153" s="1650"/>
      <c r="O153" s="1592"/>
      <c r="P153" s="1384"/>
      <c r="Q153" s="1384"/>
      <c r="R153" s="1384"/>
      <c r="S153" s="1384"/>
      <c r="T153" s="1442"/>
      <c r="U153" s="1442"/>
      <c r="V153" s="1384"/>
      <c r="Y153" s="84"/>
      <c r="Z153" s="84"/>
    </row>
    <row r="154" spans="1:26" ht="42" hidden="1" customHeight="1">
      <c r="A154" s="2109"/>
      <c r="B154" s="2110" t="s">
        <v>3573</v>
      </c>
      <c r="C154" s="2111"/>
      <c r="D154" s="2112"/>
      <c r="E154" s="2113"/>
      <c r="F154" s="2114"/>
      <c r="G154" s="2115"/>
      <c r="H154" s="1395"/>
      <c r="I154" s="2116"/>
      <c r="J154" s="2117"/>
      <c r="K154" s="2117"/>
      <c r="L154" s="2117"/>
      <c r="M154" s="2117"/>
      <c r="N154" s="1650"/>
      <c r="O154" s="1592"/>
      <c r="P154" s="1384"/>
      <c r="Q154" s="1384"/>
      <c r="R154" s="1384"/>
      <c r="S154" s="1384"/>
      <c r="T154" s="1442"/>
      <c r="U154" s="1442"/>
      <c r="V154" s="1384"/>
      <c r="Y154" s="84"/>
      <c r="Z154" s="84"/>
    </row>
    <row r="155" spans="1:26" ht="25.15" hidden="1" customHeight="1">
      <c r="A155" s="2835" t="s">
        <v>2231</v>
      </c>
      <c r="B155" s="2841" t="s">
        <v>1313</v>
      </c>
      <c r="C155" s="3614">
        <v>188711925</v>
      </c>
      <c r="D155" s="1812" t="s">
        <v>2928</v>
      </c>
      <c r="E155" s="1495">
        <v>1132.616</v>
      </c>
      <c r="F155" s="1496">
        <f t="shared" si="18"/>
        <v>-0.99465838377702598</v>
      </c>
      <c r="G155" s="2052">
        <v>6.05</v>
      </c>
      <c r="H155" s="1497">
        <v>6.05</v>
      </c>
      <c r="I155" s="2061"/>
      <c r="J155" s="1495"/>
      <c r="K155" s="1497"/>
      <c r="L155" s="1497"/>
      <c r="M155" s="1497"/>
      <c r="N155" s="3027" t="s">
        <v>2378</v>
      </c>
      <c r="O155" s="2857" t="s">
        <v>3221</v>
      </c>
      <c r="P155" s="2852" t="s">
        <v>1702</v>
      </c>
      <c r="Q155" s="2852" t="s">
        <v>1631</v>
      </c>
      <c r="R155" s="2852" t="s">
        <v>324</v>
      </c>
      <c r="S155" s="2852">
        <v>0</v>
      </c>
      <c r="T155" s="2852">
        <v>0</v>
      </c>
      <c r="U155" s="1501"/>
      <c r="V155" s="2852" t="s">
        <v>2379</v>
      </c>
      <c r="Y155" s="84"/>
      <c r="Z155" s="84"/>
    </row>
    <row r="156" spans="1:26" ht="25.15" hidden="1" customHeight="1">
      <c r="A156" s="2835"/>
      <c r="B156" s="2841"/>
      <c r="C156" s="3614"/>
      <c r="D156" s="1812" t="s">
        <v>413</v>
      </c>
      <c r="E156" s="1495">
        <v>126.94799999999999</v>
      </c>
      <c r="F156" s="1496">
        <f t="shared" ref="F156:F244" si="56">(H156-E156)/E156</f>
        <v>-1</v>
      </c>
      <c r="G156" s="2052"/>
      <c r="H156" s="1497"/>
      <c r="I156" s="2061"/>
      <c r="J156" s="1495"/>
      <c r="K156" s="1497"/>
      <c r="L156" s="1497"/>
      <c r="M156" s="1497"/>
      <c r="N156" s="3028"/>
      <c r="O156" s="2858"/>
      <c r="P156" s="2917"/>
      <c r="Q156" s="2917"/>
      <c r="R156" s="2917"/>
      <c r="S156" s="2917"/>
      <c r="T156" s="2917"/>
      <c r="U156" s="1655"/>
      <c r="V156" s="2917"/>
      <c r="Y156" s="84"/>
      <c r="Z156" s="84"/>
    </row>
    <row r="157" spans="1:26" ht="25.9" hidden="1" customHeight="1">
      <c r="A157" s="2835"/>
      <c r="B157" s="2841"/>
      <c r="C157" s="3614"/>
      <c r="D157" s="1812" t="s">
        <v>1122</v>
      </c>
      <c r="E157" s="1495"/>
      <c r="F157" s="1496" t="e">
        <f t="shared" si="56"/>
        <v>#DIV/0!</v>
      </c>
      <c r="G157" s="2052"/>
      <c r="H157" s="1497"/>
      <c r="I157" s="2061"/>
      <c r="J157" s="1495"/>
      <c r="K157" s="1497"/>
      <c r="L157" s="1497"/>
      <c r="M157" s="1497"/>
      <c r="N157" s="3028"/>
      <c r="O157" s="2858"/>
      <c r="P157" s="2917"/>
      <c r="Q157" s="2917"/>
      <c r="R157" s="2917"/>
      <c r="S157" s="2917"/>
      <c r="T157" s="2917"/>
      <c r="U157" s="1655"/>
      <c r="V157" s="2917"/>
      <c r="Y157" s="84"/>
      <c r="Z157" s="84"/>
    </row>
    <row r="158" spans="1:26" ht="24.6" hidden="1" customHeight="1">
      <c r="A158" s="2835"/>
      <c r="B158" s="2841"/>
      <c r="C158" s="3614"/>
      <c r="D158" s="1812" t="s">
        <v>246</v>
      </c>
      <c r="E158" s="1495">
        <v>1565.6859999999999</v>
      </c>
      <c r="F158" s="1496">
        <f t="shared" si="56"/>
        <v>-1</v>
      </c>
      <c r="G158" s="2052"/>
      <c r="H158" s="1497"/>
      <c r="I158" s="2061"/>
      <c r="J158" s="1495"/>
      <c r="K158" s="1497"/>
      <c r="L158" s="1497"/>
      <c r="M158" s="1497"/>
      <c r="N158" s="3028"/>
      <c r="O158" s="2858"/>
      <c r="P158" s="2917"/>
      <c r="Q158" s="2917"/>
      <c r="R158" s="2917"/>
      <c r="S158" s="2917"/>
      <c r="T158" s="2917"/>
      <c r="U158" s="1655"/>
      <c r="V158" s="2917"/>
      <c r="Y158" s="84"/>
      <c r="Z158" s="84"/>
    </row>
    <row r="159" spans="1:26" ht="24.6" hidden="1" customHeight="1">
      <c r="A159" s="2835"/>
      <c r="B159" s="2841"/>
      <c r="C159" s="3614"/>
      <c r="D159" s="1812" t="s">
        <v>1394</v>
      </c>
      <c r="E159" s="1495">
        <v>1070.2529999999999</v>
      </c>
      <c r="F159" s="1496">
        <f t="shared" si="56"/>
        <v>-1</v>
      </c>
      <c r="G159" s="2052"/>
      <c r="H159" s="1497"/>
      <c r="I159" s="2061"/>
      <c r="J159" s="1495"/>
      <c r="K159" s="1497"/>
      <c r="L159" s="1497"/>
      <c r="M159" s="1497"/>
      <c r="N159" s="3028"/>
      <c r="O159" s="2858"/>
      <c r="P159" s="2917"/>
      <c r="Q159" s="2917"/>
      <c r="R159" s="2917"/>
      <c r="S159" s="2917"/>
      <c r="T159" s="2917"/>
      <c r="U159" s="1655"/>
      <c r="V159" s="2917"/>
      <c r="Y159" s="84"/>
      <c r="Z159" s="84"/>
    </row>
    <row r="160" spans="1:26" ht="28.15" hidden="1" customHeight="1">
      <c r="A160" s="2835"/>
      <c r="B160" s="3613"/>
      <c r="C160" s="3614"/>
      <c r="D160" s="1716" t="s">
        <v>1076</v>
      </c>
      <c r="E160" s="1495">
        <f>SUM(E155:E159)</f>
        <v>3895.5029999999997</v>
      </c>
      <c r="F160" s="1496">
        <f t="shared" si="56"/>
        <v>-0.99844692713623884</v>
      </c>
      <c r="G160" s="2052">
        <f t="shared" ref="G160:L160" si="57">SUM(G155:G159)</f>
        <v>6.05</v>
      </c>
      <c r="H160" s="1497">
        <f t="shared" si="57"/>
        <v>6.05</v>
      </c>
      <c r="I160" s="2061"/>
      <c r="J160" s="1495"/>
      <c r="K160" s="1497">
        <f t="shared" si="57"/>
        <v>0</v>
      </c>
      <c r="L160" s="1497">
        <f t="shared" si="57"/>
        <v>0</v>
      </c>
      <c r="M160" s="1497"/>
      <c r="N160" s="3029"/>
      <c r="O160" s="2920"/>
      <c r="P160" s="2917"/>
      <c r="Q160" s="2917"/>
      <c r="R160" s="2918"/>
      <c r="S160" s="2918"/>
      <c r="T160" s="2918"/>
      <c r="U160" s="1656"/>
      <c r="V160" s="2918"/>
      <c r="Y160" s="84"/>
      <c r="Z160" s="84"/>
    </row>
    <row r="161" spans="1:26" ht="42" hidden="1" customHeight="1">
      <c r="A161" s="3604" t="s">
        <v>404</v>
      </c>
      <c r="B161" s="3583" t="s">
        <v>1314</v>
      </c>
      <c r="C161" s="3605">
        <v>188711925</v>
      </c>
      <c r="D161" s="2118" t="s">
        <v>471</v>
      </c>
      <c r="E161" s="2119">
        <v>0</v>
      </c>
      <c r="F161" s="2086" t="e">
        <f t="shared" si="56"/>
        <v>#DIV/0!</v>
      </c>
      <c r="G161" s="2120"/>
      <c r="H161" s="2088"/>
      <c r="I161" s="1096" t="e">
        <f t="shared" si="39"/>
        <v>#DIV/0!</v>
      </c>
      <c r="J161" s="2089"/>
      <c r="K161" s="2088"/>
      <c r="L161" s="2088"/>
      <c r="M161" s="2088"/>
      <c r="N161" s="2121"/>
      <c r="O161" s="3610"/>
      <c r="P161" s="3489" t="s">
        <v>1703</v>
      </c>
      <c r="Q161" s="3489"/>
      <c r="R161" s="3502"/>
      <c r="S161" s="3502"/>
      <c r="T161" s="3502"/>
      <c r="U161" s="2122"/>
      <c r="V161" s="3489"/>
      <c r="Y161" s="84"/>
      <c r="Z161" s="84"/>
    </row>
    <row r="162" spans="1:26" ht="42" hidden="1" customHeight="1">
      <c r="A162" s="3577"/>
      <c r="B162" s="3579"/>
      <c r="C162" s="3606"/>
      <c r="D162" s="2123" t="s">
        <v>246</v>
      </c>
      <c r="E162" s="2124"/>
      <c r="F162" s="2086" t="e">
        <f t="shared" si="56"/>
        <v>#DIV/0!</v>
      </c>
      <c r="G162" s="2125"/>
      <c r="H162" s="2126"/>
      <c r="I162" s="1096" t="e">
        <f t="shared" si="39"/>
        <v>#DIV/0!</v>
      </c>
      <c r="J162" s="2124"/>
      <c r="K162" s="2088"/>
      <c r="L162" s="2088"/>
      <c r="M162" s="2088"/>
      <c r="N162" s="2121"/>
      <c r="O162" s="3611"/>
      <c r="P162" s="3490"/>
      <c r="Q162" s="3490"/>
      <c r="R162" s="3503"/>
      <c r="S162" s="3503"/>
      <c r="T162" s="3503"/>
      <c r="U162" s="2127"/>
      <c r="V162" s="3490"/>
      <c r="Y162" s="84"/>
      <c r="Z162" s="84"/>
    </row>
    <row r="163" spans="1:26" ht="42" hidden="1" customHeight="1">
      <c r="A163" s="3577"/>
      <c r="B163" s="3579"/>
      <c r="C163" s="3606"/>
      <c r="D163" s="2123" t="s">
        <v>413</v>
      </c>
      <c r="E163" s="2124"/>
      <c r="F163" s="2086" t="e">
        <f t="shared" si="56"/>
        <v>#DIV/0!</v>
      </c>
      <c r="G163" s="2125"/>
      <c r="H163" s="2126"/>
      <c r="I163" s="1096" t="e">
        <f t="shared" si="39"/>
        <v>#DIV/0!</v>
      </c>
      <c r="J163" s="2124"/>
      <c r="K163" s="2088"/>
      <c r="L163" s="2088"/>
      <c r="M163" s="2088"/>
      <c r="N163" s="2121"/>
      <c r="O163" s="3611"/>
      <c r="P163" s="3490"/>
      <c r="Q163" s="3490"/>
      <c r="R163" s="3503"/>
      <c r="S163" s="3503"/>
      <c r="T163" s="3503"/>
      <c r="U163" s="2127"/>
      <c r="V163" s="3490"/>
      <c r="Y163" s="84"/>
      <c r="Z163" s="84"/>
    </row>
    <row r="164" spans="1:26" ht="42" hidden="1" customHeight="1">
      <c r="A164" s="3577"/>
      <c r="B164" s="3579"/>
      <c r="C164" s="3606"/>
      <c r="D164" s="2128" t="s">
        <v>1076</v>
      </c>
      <c r="E164" s="2089">
        <f>E161</f>
        <v>0</v>
      </c>
      <c r="F164" s="2086" t="e">
        <f t="shared" si="56"/>
        <v>#DIV/0!</v>
      </c>
      <c r="G164" s="2092"/>
      <c r="H164" s="2088"/>
      <c r="I164" s="1096" t="e">
        <f t="shared" si="39"/>
        <v>#DIV/0!</v>
      </c>
      <c r="J164" s="2089"/>
      <c r="K164" s="2088"/>
      <c r="L164" s="2088"/>
      <c r="M164" s="2088"/>
      <c r="N164" s="2129"/>
      <c r="O164" s="3612"/>
      <c r="P164" s="3491"/>
      <c r="Q164" s="3491"/>
      <c r="R164" s="3504"/>
      <c r="S164" s="3504"/>
      <c r="T164" s="3504"/>
      <c r="U164" s="2130"/>
      <c r="V164" s="3491"/>
      <c r="Y164" s="84"/>
      <c r="Z164" s="84"/>
    </row>
    <row r="165" spans="1:26" ht="42" hidden="1" customHeight="1">
      <c r="A165" s="2131"/>
      <c r="B165" s="2132" t="s">
        <v>3998</v>
      </c>
      <c r="C165" s="1623"/>
      <c r="D165" s="2133"/>
      <c r="E165" s="1127"/>
      <c r="F165" s="1427"/>
      <c r="G165" s="1882"/>
      <c r="H165" s="1005"/>
      <c r="I165" s="1126"/>
      <c r="J165" s="1127"/>
      <c r="K165" s="1005">
        <v>3.3</v>
      </c>
      <c r="L165" s="1005"/>
      <c r="M165" s="1005"/>
      <c r="N165" s="1627"/>
      <c r="O165" s="1428"/>
      <c r="P165" s="1031"/>
      <c r="Q165" s="1031"/>
      <c r="R165" s="1187"/>
      <c r="S165" s="1187"/>
      <c r="T165" s="1187"/>
      <c r="U165" s="1187"/>
      <c r="V165" s="1031"/>
      <c r="Y165" s="84"/>
      <c r="Z165" s="84"/>
    </row>
    <row r="166" spans="1:26" ht="42" customHeight="1">
      <c r="A166" s="1017" t="s">
        <v>2258</v>
      </c>
      <c r="B166" s="954" t="s">
        <v>1315</v>
      </c>
      <c r="C166" s="1017"/>
      <c r="D166" s="1017"/>
      <c r="E166" s="1094">
        <f>SUM(E170,E191)</f>
        <v>182.86600000000001</v>
      </c>
      <c r="F166" s="1368">
        <f t="shared" si="56"/>
        <v>3.7346691019653728</v>
      </c>
      <c r="G166" s="2042">
        <f t="shared" ref="G166:M166" si="58">SUM(G170,G191)</f>
        <v>10</v>
      </c>
      <c r="H166" s="1095">
        <f t="shared" si="58"/>
        <v>865.81</v>
      </c>
      <c r="I166" s="1096">
        <f t="shared" si="39"/>
        <v>-0.9607304142941292</v>
      </c>
      <c r="J166" s="1095">
        <f t="shared" si="58"/>
        <v>34</v>
      </c>
      <c r="K166" s="1095">
        <f t="shared" si="58"/>
        <v>1686.27</v>
      </c>
      <c r="L166" s="1095">
        <f t="shared" si="58"/>
        <v>995.24</v>
      </c>
      <c r="M166" s="1095">
        <f t="shared" si="58"/>
        <v>950.44</v>
      </c>
      <c r="N166" s="1457"/>
      <c r="O166" s="1017"/>
      <c r="P166" s="1017" t="s">
        <v>1704</v>
      </c>
      <c r="Q166" s="1017"/>
      <c r="R166" s="1017"/>
      <c r="S166" s="1017"/>
      <c r="T166" s="1017"/>
      <c r="U166" s="1017"/>
      <c r="V166" s="1017"/>
      <c r="Y166" s="84"/>
      <c r="Z166" s="84"/>
    </row>
    <row r="167" spans="1:26" ht="38.450000000000003" customHeight="1">
      <c r="A167" s="2746" t="s">
        <v>2232</v>
      </c>
      <c r="B167" s="2924" t="s">
        <v>1316</v>
      </c>
      <c r="C167" s="3538" t="s">
        <v>1080</v>
      </c>
      <c r="D167" s="1035" t="s">
        <v>471</v>
      </c>
      <c r="E167" s="1051">
        <v>182.86600000000001</v>
      </c>
      <c r="F167" s="1424">
        <f t="shared" si="56"/>
        <v>-0.72170879223037632</v>
      </c>
      <c r="G167" s="1317">
        <f>SUM(G175:G189)</f>
        <v>0</v>
      </c>
      <c r="H167" s="1053">
        <f>H173</f>
        <v>50.89</v>
      </c>
      <c r="I167" s="1604">
        <f t="shared" si="39"/>
        <v>-1</v>
      </c>
      <c r="J167" s="1051"/>
      <c r="K167" s="1053"/>
      <c r="L167" s="1053">
        <f>46.8+76</f>
        <v>122.8</v>
      </c>
      <c r="M167" s="1053">
        <f>846.44+76</f>
        <v>922.44</v>
      </c>
      <c r="N167" s="3568"/>
      <c r="O167" s="2349" t="s">
        <v>4162</v>
      </c>
      <c r="P167" s="2343" t="s">
        <v>1705</v>
      </c>
      <c r="Q167" s="2343" t="s">
        <v>2936</v>
      </c>
      <c r="R167" s="2339">
        <v>98</v>
      </c>
      <c r="S167" s="2339">
        <v>98</v>
      </c>
      <c r="T167" s="2339">
        <v>98</v>
      </c>
      <c r="U167" s="2339">
        <v>98</v>
      </c>
      <c r="V167" s="3492"/>
      <c r="Y167" s="84"/>
      <c r="Z167" s="84"/>
    </row>
    <row r="168" spans="1:26" ht="36" customHeight="1">
      <c r="A168" s="2745"/>
      <c r="B168" s="3536"/>
      <c r="C168" s="3539"/>
      <c r="D168" s="1035" t="s">
        <v>2928</v>
      </c>
      <c r="E168" s="1051"/>
      <c r="F168" s="1424"/>
      <c r="G168" s="1317"/>
      <c r="H168" s="1053">
        <f>SUM(H172,H174,H175,H176,H178,H179,H180,H181,H182,H183,H184,H185,H186,H187,H188,H189,H190,)</f>
        <v>799.92</v>
      </c>
      <c r="I168" s="1604">
        <f t="shared" si="39"/>
        <v>-1</v>
      </c>
      <c r="J168" s="1051"/>
      <c r="K168" s="1053">
        <v>1652.27</v>
      </c>
      <c r="L168" s="1053">
        <v>846.44</v>
      </c>
      <c r="M168" s="1051"/>
      <c r="N168" s="3568"/>
      <c r="O168" s="2363"/>
      <c r="P168" s="2345"/>
      <c r="Q168" s="2345"/>
      <c r="R168" s="2340"/>
      <c r="S168" s="2340"/>
      <c r="T168" s="2340"/>
      <c r="U168" s="2340"/>
      <c r="V168" s="3493"/>
      <c r="Y168" s="84"/>
      <c r="Z168" s="84"/>
    </row>
    <row r="169" spans="1:26" ht="34.15" customHeight="1">
      <c r="A169" s="2745"/>
      <c r="B169" s="3536"/>
      <c r="C169" s="3539"/>
      <c r="D169" s="1035" t="s">
        <v>1389</v>
      </c>
      <c r="E169" s="1051"/>
      <c r="F169" s="1424"/>
      <c r="G169" s="1317"/>
      <c r="H169" s="1053">
        <v>5</v>
      </c>
      <c r="I169" s="1604">
        <f t="shared" si="39"/>
        <v>-1</v>
      </c>
      <c r="J169" s="1051"/>
      <c r="K169" s="1051"/>
      <c r="L169" s="1051"/>
      <c r="M169" s="1051"/>
      <c r="N169" s="3568"/>
      <c r="O169" s="2363"/>
      <c r="P169" s="2345"/>
      <c r="Q169" s="2345"/>
      <c r="R169" s="2340"/>
      <c r="S169" s="2340"/>
      <c r="T169" s="2340"/>
      <c r="U169" s="2340"/>
      <c r="V169" s="3493"/>
      <c r="Y169" s="84"/>
      <c r="Z169" s="84"/>
    </row>
    <row r="170" spans="1:26" ht="39.75" customHeight="1">
      <c r="A170" s="2807"/>
      <c r="B170" s="3537"/>
      <c r="C170" s="2887"/>
      <c r="D170" s="1192" t="s">
        <v>1076</v>
      </c>
      <c r="E170" s="1193">
        <f>E167</f>
        <v>182.86600000000001</v>
      </c>
      <c r="F170" s="1449">
        <f t="shared" si="56"/>
        <v>3.6799842507628533</v>
      </c>
      <c r="G170" s="2134">
        <f t="shared" ref="G170" si="59">G167</f>
        <v>0</v>
      </c>
      <c r="H170" s="1059">
        <f>H167+H168+H169</f>
        <v>855.81</v>
      </c>
      <c r="I170" s="1060">
        <f t="shared" si="39"/>
        <v>-1</v>
      </c>
      <c r="J170" s="1057"/>
      <c r="K170" s="1059">
        <f t="shared" ref="K170:M170" si="60">K167+K168+K169</f>
        <v>1652.27</v>
      </c>
      <c r="L170" s="1059">
        <f t="shared" si="60"/>
        <v>969.24</v>
      </c>
      <c r="M170" s="1059">
        <f t="shared" si="60"/>
        <v>922.44</v>
      </c>
      <c r="N170" s="3568"/>
      <c r="O170" s="2880"/>
      <c r="P170" s="2345"/>
      <c r="Q170" s="2344"/>
      <c r="R170" s="2346"/>
      <c r="S170" s="2346"/>
      <c r="T170" s="2346"/>
      <c r="U170" s="2346"/>
      <c r="V170" s="2355"/>
      <c r="Y170" s="84"/>
      <c r="Z170" s="84"/>
    </row>
    <row r="171" spans="1:26" ht="55.9" hidden="1" customHeight="1">
      <c r="A171" s="2135"/>
      <c r="B171" s="2136" t="s">
        <v>1626</v>
      </c>
      <c r="C171" s="2137"/>
      <c r="D171" s="2138"/>
      <c r="E171" s="2139"/>
      <c r="F171" s="2140"/>
      <c r="G171" s="2141"/>
      <c r="H171" s="1913">
        <v>5</v>
      </c>
      <c r="I171" s="1096">
        <f t="shared" si="39"/>
        <v>-1</v>
      </c>
      <c r="J171" s="2142"/>
      <c r="K171" s="1913"/>
      <c r="L171" s="1913"/>
      <c r="M171" s="1913"/>
      <c r="N171" s="2143"/>
      <c r="O171" s="2008"/>
      <c r="P171" s="2023"/>
      <c r="Q171" s="1914"/>
      <c r="R171" s="1018"/>
      <c r="S171" s="1018"/>
      <c r="T171" s="1018"/>
      <c r="U171" s="1018"/>
      <c r="V171" s="956"/>
      <c r="Y171" s="84"/>
      <c r="Z171" s="84"/>
    </row>
    <row r="172" spans="1:26" ht="42" hidden="1" customHeight="1">
      <c r="A172" s="2144"/>
      <c r="B172" s="2028" t="s">
        <v>2703</v>
      </c>
      <c r="C172" s="2145" t="s">
        <v>2932</v>
      </c>
      <c r="D172" s="2146"/>
      <c r="E172" s="1949"/>
      <c r="F172" s="2147"/>
      <c r="G172" s="1951"/>
      <c r="H172" s="2148">
        <f>176.77-10.085</f>
        <v>166.685</v>
      </c>
      <c r="I172" s="1096">
        <f t="shared" si="39"/>
        <v>-1</v>
      </c>
      <c r="J172" s="2149"/>
      <c r="K172" s="2150"/>
      <c r="L172" s="2150"/>
      <c r="M172" s="2150"/>
      <c r="N172" s="2151"/>
      <c r="O172" s="2150" t="s">
        <v>2730</v>
      </c>
      <c r="P172" s="2152"/>
      <c r="Q172" s="2153"/>
      <c r="R172" s="2154"/>
      <c r="S172" s="2154"/>
      <c r="T172" s="2154"/>
      <c r="U172" s="2154"/>
      <c r="V172" s="2153"/>
      <c r="Y172" s="84"/>
      <c r="Z172" s="84"/>
    </row>
    <row r="173" spans="1:26" ht="42" hidden="1" customHeight="1">
      <c r="A173" s="2144"/>
      <c r="B173" s="2028"/>
      <c r="C173" s="2155" t="s">
        <v>471</v>
      </c>
      <c r="D173" s="1196"/>
      <c r="E173" s="2156"/>
      <c r="F173" s="2157"/>
      <c r="G173" s="2158"/>
      <c r="H173" s="2159">
        <f>100.89-50</f>
        <v>50.89</v>
      </c>
      <c r="I173" s="1096">
        <f t="shared" ref="I173:I242" si="61">J173/H173-1</f>
        <v>-1</v>
      </c>
      <c r="J173" s="2156"/>
      <c r="K173" s="2150"/>
      <c r="L173" s="2150"/>
      <c r="M173" s="2150"/>
      <c r="N173" s="2151"/>
      <c r="O173" s="2150"/>
      <c r="P173" s="2152"/>
      <c r="Q173" s="2153"/>
      <c r="R173" s="2154"/>
      <c r="S173" s="2154"/>
      <c r="T173" s="2154"/>
      <c r="U173" s="2154"/>
      <c r="V173" s="2153"/>
      <c r="Y173" s="84"/>
      <c r="Z173" s="84"/>
    </row>
    <row r="174" spans="1:26" ht="42" hidden="1" customHeight="1">
      <c r="A174" s="2144"/>
      <c r="B174" s="2028" t="s">
        <v>2703</v>
      </c>
      <c r="C174" s="2145" t="s">
        <v>2932</v>
      </c>
      <c r="D174" s="2146"/>
      <c r="E174" s="1949"/>
      <c r="F174" s="2147"/>
      <c r="G174" s="1951"/>
      <c r="H174" s="2148">
        <f>17.51+123.99</f>
        <v>141.5</v>
      </c>
      <c r="I174" s="1096">
        <f t="shared" si="61"/>
        <v>-1</v>
      </c>
      <c r="J174" s="2149"/>
      <c r="K174" s="2150"/>
      <c r="L174" s="2150"/>
      <c r="M174" s="2150"/>
      <c r="N174" s="2151"/>
      <c r="O174" s="2150" t="s">
        <v>2731</v>
      </c>
      <c r="P174" s="2152"/>
      <c r="Q174" s="2153"/>
      <c r="R174" s="2154"/>
      <c r="S174" s="2154"/>
      <c r="T174" s="2154"/>
      <c r="U174" s="2154"/>
      <c r="V174" s="2153"/>
      <c r="Y174" s="84"/>
      <c r="Z174" s="84"/>
    </row>
    <row r="175" spans="1:26" ht="42" hidden="1" customHeight="1">
      <c r="A175" s="2144"/>
      <c r="B175" s="2160" t="s">
        <v>1114</v>
      </c>
      <c r="C175" s="2145"/>
      <c r="D175" s="2146"/>
      <c r="E175" s="1949"/>
      <c r="F175" s="2147"/>
      <c r="G175" s="1951"/>
      <c r="H175" s="2149">
        <v>48.35</v>
      </c>
      <c r="I175" s="1096">
        <f t="shared" si="61"/>
        <v>-1</v>
      </c>
      <c r="J175" s="2149"/>
      <c r="K175" s="2150"/>
      <c r="L175" s="2150"/>
      <c r="M175" s="2150"/>
      <c r="N175" s="2151"/>
      <c r="O175" s="2161"/>
      <c r="P175" s="2152"/>
      <c r="Q175" s="2153"/>
      <c r="R175" s="2162">
        <v>4</v>
      </c>
      <c r="S175" s="2162">
        <v>4</v>
      </c>
      <c r="T175" s="2162">
        <v>4</v>
      </c>
      <c r="U175" s="2163"/>
      <c r="V175" s="2153"/>
      <c r="Y175" s="84"/>
      <c r="Z175" s="84"/>
    </row>
    <row r="176" spans="1:26" ht="42" hidden="1" customHeight="1">
      <c r="A176" s="2144"/>
      <c r="B176" s="2160" t="s">
        <v>1442</v>
      </c>
      <c r="C176" s="2145"/>
      <c r="D176" s="2146"/>
      <c r="E176" s="1949"/>
      <c r="F176" s="2147"/>
      <c r="G176" s="1951"/>
      <c r="H176" s="2149">
        <v>10</v>
      </c>
      <c r="I176" s="1096">
        <f t="shared" si="61"/>
        <v>-1</v>
      </c>
      <c r="J176" s="2149"/>
      <c r="K176" s="2150"/>
      <c r="L176" s="2150"/>
      <c r="M176" s="2150"/>
      <c r="N176" s="2151"/>
      <c r="O176" s="2161"/>
      <c r="P176" s="2152"/>
      <c r="Q176" s="2153"/>
      <c r="R176" s="2162">
        <v>3527</v>
      </c>
      <c r="S176" s="2162"/>
      <c r="T176" s="2162"/>
      <c r="U176" s="2163"/>
      <c r="V176" s="2153"/>
      <c r="Y176" s="84"/>
      <c r="Z176" s="84"/>
    </row>
    <row r="177" spans="1:26" ht="42" hidden="1" customHeight="1">
      <c r="A177" s="2144"/>
      <c r="B177" s="2160" t="s">
        <v>1445</v>
      </c>
      <c r="C177" s="2145"/>
      <c r="D177" s="2146"/>
      <c r="E177" s="1949"/>
      <c r="F177" s="2147"/>
      <c r="G177" s="1951"/>
      <c r="H177" s="2164"/>
      <c r="I177" s="1096" t="e">
        <f t="shared" si="61"/>
        <v>#DIV/0!</v>
      </c>
      <c r="J177" s="2165"/>
      <c r="K177" s="2150"/>
      <c r="L177" s="2150"/>
      <c r="M177" s="2150"/>
      <c r="N177" s="2151"/>
      <c r="O177" s="2161"/>
      <c r="P177" s="2152"/>
      <c r="Q177" s="2153"/>
      <c r="R177" s="2162"/>
      <c r="S177" s="2162"/>
      <c r="T177" s="2162"/>
      <c r="U177" s="2163"/>
      <c r="V177" s="2153"/>
      <c r="Y177" s="84"/>
      <c r="Z177" s="84"/>
    </row>
    <row r="178" spans="1:26" ht="42" hidden="1" customHeight="1">
      <c r="A178" s="2144"/>
      <c r="B178" s="2160" t="s">
        <v>1444</v>
      </c>
      <c r="C178" s="2145"/>
      <c r="D178" s="2146"/>
      <c r="E178" s="1949"/>
      <c r="F178" s="2147"/>
      <c r="G178" s="1951"/>
      <c r="H178" s="2149">
        <v>21</v>
      </c>
      <c r="I178" s="1096">
        <f t="shared" si="61"/>
        <v>-1</v>
      </c>
      <c r="J178" s="2149"/>
      <c r="K178" s="2150"/>
      <c r="L178" s="2150"/>
      <c r="M178" s="2150"/>
      <c r="N178" s="2151"/>
      <c r="O178" s="2161"/>
      <c r="P178" s="2152"/>
      <c r="Q178" s="2153"/>
      <c r="R178" s="2162"/>
      <c r="S178" s="2162"/>
      <c r="T178" s="2162"/>
      <c r="U178" s="2163"/>
      <c r="V178" s="2153"/>
      <c r="Y178" s="84"/>
      <c r="Z178" s="84"/>
    </row>
    <row r="179" spans="1:26" ht="42" hidden="1" customHeight="1">
      <c r="A179" s="2144"/>
      <c r="B179" s="2160" t="s">
        <v>1573</v>
      </c>
      <c r="C179" s="2145"/>
      <c r="D179" s="2146"/>
      <c r="E179" s="1949"/>
      <c r="F179" s="2147"/>
      <c r="G179" s="1951"/>
      <c r="H179" s="2149">
        <v>29.48</v>
      </c>
      <c r="I179" s="1096">
        <f t="shared" si="61"/>
        <v>-1</v>
      </c>
      <c r="J179" s="2149"/>
      <c r="K179" s="2150"/>
      <c r="L179" s="2150"/>
      <c r="M179" s="2150"/>
      <c r="N179" s="2151"/>
      <c r="O179" s="2161"/>
      <c r="P179" s="2152"/>
      <c r="Q179" s="2153"/>
      <c r="R179" s="2162"/>
      <c r="S179" s="2162"/>
      <c r="T179" s="2162"/>
      <c r="U179" s="2163"/>
      <c r="V179" s="2153"/>
      <c r="Y179" s="84"/>
      <c r="Z179" s="84"/>
    </row>
    <row r="180" spans="1:26" ht="42" hidden="1" customHeight="1">
      <c r="A180" s="2144"/>
      <c r="B180" s="2160" t="s">
        <v>1565</v>
      </c>
      <c r="C180" s="2145"/>
      <c r="D180" s="2146"/>
      <c r="E180" s="1949"/>
      <c r="F180" s="2147"/>
      <c r="G180" s="1951"/>
      <c r="H180" s="2149">
        <v>22.465</v>
      </c>
      <c r="I180" s="1096">
        <f t="shared" si="61"/>
        <v>-1</v>
      </c>
      <c r="J180" s="2149"/>
      <c r="K180" s="2150"/>
      <c r="L180" s="2150"/>
      <c r="M180" s="2150"/>
      <c r="N180" s="2151"/>
      <c r="O180" s="2161"/>
      <c r="P180" s="2152"/>
      <c r="Q180" s="2153"/>
      <c r="R180" s="2162"/>
      <c r="S180" s="2162"/>
      <c r="T180" s="2162"/>
      <c r="U180" s="2163"/>
      <c r="V180" s="2153"/>
      <c r="Y180" s="84"/>
      <c r="Z180" s="84"/>
    </row>
    <row r="181" spans="1:26" ht="42" hidden="1" customHeight="1">
      <c r="A181" s="2144"/>
      <c r="B181" s="2160" t="s">
        <v>1085</v>
      </c>
      <c r="C181" s="2145"/>
      <c r="D181" s="2146"/>
      <c r="E181" s="1949"/>
      <c r="F181" s="2147"/>
      <c r="G181" s="1951"/>
      <c r="H181" s="2149">
        <v>20</v>
      </c>
      <c r="I181" s="1096">
        <f t="shared" si="61"/>
        <v>-1</v>
      </c>
      <c r="J181" s="2149"/>
      <c r="K181" s="2150"/>
      <c r="L181" s="2150"/>
      <c r="M181" s="2150"/>
      <c r="N181" s="2151"/>
      <c r="O181" s="2161"/>
      <c r="P181" s="2152"/>
      <c r="Q181" s="2153"/>
      <c r="R181" s="2162"/>
      <c r="S181" s="2162"/>
      <c r="T181" s="2162"/>
      <c r="U181" s="2163"/>
      <c r="V181" s="2153"/>
      <c r="Y181" s="84"/>
      <c r="Z181" s="84"/>
    </row>
    <row r="182" spans="1:26" ht="42" hidden="1" customHeight="1">
      <c r="A182" s="2144"/>
      <c r="B182" s="2160" t="s">
        <v>1145</v>
      </c>
      <c r="C182" s="2145"/>
      <c r="D182" s="2146"/>
      <c r="E182" s="1949"/>
      <c r="F182" s="2147"/>
      <c r="G182" s="1951"/>
      <c r="H182" s="2149">
        <v>66</v>
      </c>
      <c r="I182" s="1096">
        <f t="shared" si="61"/>
        <v>-1</v>
      </c>
      <c r="J182" s="2149"/>
      <c r="K182" s="2150"/>
      <c r="L182" s="2150"/>
      <c r="M182" s="2150"/>
      <c r="N182" s="2151"/>
      <c r="O182" s="2161"/>
      <c r="P182" s="2152"/>
      <c r="Q182" s="2153"/>
      <c r="R182" s="2162"/>
      <c r="S182" s="2162"/>
      <c r="T182" s="2162"/>
      <c r="U182" s="2163"/>
      <c r="V182" s="2153"/>
      <c r="Y182" s="84"/>
      <c r="Z182" s="84"/>
    </row>
    <row r="183" spans="1:26" ht="42" hidden="1" customHeight="1">
      <c r="A183" s="2144"/>
      <c r="B183" s="2160" t="s">
        <v>1566</v>
      </c>
      <c r="C183" s="2145"/>
      <c r="D183" s="2146"/>
      <c r="E183" s="1949"/>
      <c r="F183" s="2147"/>
      <c r="G183" s="1951"/>
      <c r="H183" s="2149">
        <v>84.784999999999997</v>
      </c>
      <c r="I183" s="1096">
        <f t="shared" si="61"/>
        <v>-1</v>
      </c>
      <c r="J183" s="2149"/>
      <c r="K183" s="2150"/>
      <c r="L183" s="2150"/>
      <c r="M183" s="2150"/>
      <c r="N183" s="2151"/>
      <c r="O183" s="2161"/>
      <c r="P183" s="2152"/>
      <c r="Q183" s="2153"/>
      <c r="R183" s="2162"/>
      <c r="S183" s="2162"/>
      <c r="T183" s="2162"/>
      <c r="U183" s="2163"/>
      <c r="V183" s="2153"/>
      <c r="Y183" s="84"/>
      <c r="Z183" s="84"/>
    </row>
    <row r="184" spans="1:26" ht="42" hidden="1" customHeight="1">
      <c r="A184" s="2144"/>
      <c r="B184" s="2160" t="s">
        <v>1568</v>
      </c>
      <c r="C184" s="2145"/>
      <c r="D184" s="2146"/>
      <c r="E184" s="1949"/>
      <c r="F184" s="2147"/>
      <c r="G184" s="1951"/>
      <c r="H184" s="2149">
        <v>27.16</v>
      </c>
      <c r="I184" s="1096">
        <f t="shared" si="61"/>
        <v>-1</v>
      </c>
      <c r="J184" s="2149"/>
      <c r="K184" s="2150"/>
      <c r="L184" s="2150"/>
      <c r="M184" s="2150"/>
      <c r="N184" s="2151"/>
      <c r="O184" s="2161"/>
      <c r="P184" s="2152"/>
      <c r="Q184" s="2153"/>
      <c r="R184" s="2162"/>
      <c r="S184" s="2162"/>
      <c r="T184" s="2162"/>
      <c r="U184" s="2163"/>
      <c r="V184" s="2153"/>
      <c r="Y184" s="84"/>
      <c r="Z184" s="84"/>
    </row>
    <row r="185" spans="1:26" ht="42" hidden="1" customHeight="1">
      <c r="A185" s="2144"/>
      <c r="B185" s="2160" t="s">
        <v>1574</v>
      </c>
      <c r="C185" s="2145"/>
      <c r="D185" s="2146"/>
      <c r="E185" s="1949"/>
      <c r="F185" s="2147"/>
      <c r="G185" s="1951"/>
      <c r="H185" s="2149">
        <v>18.5</v>
      </c>
      <c r="I185" s="1096">
        <f t="shared" si="61"/>
        <v>-1</v>
      </c>
      <c r="J185" s="2149"/>
      <c r="K185" s="2150"/>
      <c r="L185" s="2150"/>
      <c r="M185" s="2150"/>
      <c r="N185" s="2151"/>
      <c r="O185" s="2161"/>
      <c r="P185" s="2152"/>
      <c r="Q185" s="2153"/>
      <c r="R185" s="2162"/>
      <c r="S185" s="2162"/>
      <c r="T185" s="2162"/>
      <c r="U185" s="2163"/>
      <c r="V185" s="2153"/>
      <c r="Y185" s="84"/>
      <c r="Z185" s="84"/>
    </row>
    <row r="186" spans="1:26" ht="42" hidden="1" customHeight="1">
      <c r="A186" s="2144"/>
      <c r="B186" s="2160" t="s">
        <v>1450</v>
      </c>
      <c r="C186" s="2145"/>
      <c r="D186" s="2146"/>
      <c r="E186" s="1949"/>
      <c r="F186" s="2147"/>
      <c r="G186" s="1951"/>
      <c r="H186" s="2149">
        <f>26.88+10.085</f>
        <v>36.965000000000003</v>
      </c>
      <c r="I186" s="1096">
        <f t="shared" si="61"/>
        <v>-1</v>
      </c>
      <c r="J186" s="2149"/>
      <c r="K186" s="2150"/>
      <c r="L186" s="2150"/>
      <c r="M186" s="2150"/>
      <c r="N186" s="2151"/>
      <c r="O186" s="2161"/>
      <c r="P186" s="2152"/>
      <c r="Q186" s="2153"/>
      <c r="R186" s="2162"/>
      <c r="S186" s="2162"/>
      <c r="T186" s="2162"/>
      <c r="U186" s="2163"/>
      <c r="V186" s="2153"/>
      <c r="Y186" s="84"/>
      <c r="Z186" s="84"/>
    </row>
    <row r="187" spans="1:26" ht="42" hidden="1" customHeight="1">
      <c r="A187" s="2144"/>
      <c r="B187" s="2160" t="s">
        <v>2884</v>
      </c>
      <c r="C187" s="2145"/>
      <c r="D187" s="2146"/>
      <c r="E187" s="1949"/>
      <c r="F187" s="2147"/>
      <c r="G187" s="1951"/>
      <c r="H187" s="2149">
        <v>29</v>
      </c>
      <c r="I187" s="1096">
        <f t="shared" si="61"/>
        <v>-1</v>
      </c>
      <c r="J187" s="2149"/>
      <c r="K187" s="2150"/>
      <c r="L187" s="2150"/>
      <c r="M187" s="2150"/>
      <c r="N187" s="2151"/>
      <c r="O187" s="2161"/>
      <c r="P187" s="2152"/>
      <c r="Q187" s="2153"/>
      <c r="R187" s="2162"/>
      <c r="S187" s="2162"/>
      <c r="T187" s="2162"/>
      <c r="U187" s="2163"/>
      <c r="V187" s="2153"/>
      <c r="Y187" s="84"/>
      <c r="Z187" s="84"/>
    </row>
    <row r="188" spans="1:26" ht="42" hidden="1" customHeight="1">
      <c r="A188" s="2144"/>
      <c r="B188" s="2160" t="s">
        <v>2885</v>
      </c>
      <c r="C188" s="2145"/>
      <c r="D188" s="2146"/>
      <c r="E188" s="1949"/>
      <c r="F188" s="2147"/>
      <c r="G188" s="1951"/>
      <c r="H188" s="2149">
        <v>32</v>
      </c>
      <c r="I188" s="1096">
        <f t="shared" si="61"/>
        <v>-1</v>
      </c>
      <c r="J188" s="2149"/>
      <c r="K188" s="2150"/>
      <c r="L188" s="2150"/>
      <c r="M188" s="2150"/>
      <c r="N188" s="2151"/>
      <c r="O188" s="2161"/>
      <c r="P188" s="2152"/>
      <c r="Q188" s="2153"/>
      <c r="R188" s="2162"/>
      <c r="S188" s="2162"/>
      <c r="T188" s="2162"/>
      <c r="U188" s="2163"/>
      <c r="V188" s="2153"/>
      <c r="Y188" s="84"/>
      <c r="Z188" s="84"/>
    </row>
    <row r="189" spans="1:26" ht="42" hidden="1" customHeight="1">
      <c r="A189" s="2144"/>
      <c r="B189" s="2160" t="s">
        <v>1626</v>
      </c>
      <c r="C189" s="2145"/>
      <c r="D189" s="2146"/>
      <c r="E189" s="1949"/>
      <c r="F189" s="2147"/>
      <c r="G189" s="1951"/>
      <c r="H189" s="2149">
        <v>10</v>
      </c>
      <c r="I189" s="1096">
        <f t="shared" si="61"/>
        <v>-1</v>
      </c>
      <c r="J189" s="2149"/>
      <c r="K189" s="2150"/>
      <c r="L189" s="2150"/>
      <c r="M189" s="2150"/>
      <c r="N189" s="2151"/>
      <c r="O189" s="2161"/>
      <c r="P189" s="2152"/>
      <c r="Q189" s="2153"/>
      <c r="R189" s="2162"/>
      <c r="S189" s="2162"/>
      <c r="T189" s="2162"/>
      <c r="U189" s="2163"/>
      <c r="V189" s="2153"/>
      <c r="Y189" s="84"/>
      <c r="Z189" s="84"/>
    </row>
    <row r="190" spans="1:26" ht="42" hidden="1" customHeight="1">
      <c r="A190" s="2166"/>
      <c r="B190" s="2167" t="s">
        <v>2886</v>
      </c>
      <c r="C190" s="2168"/>
      <c r="D190" s="2146"/>
      <c r="E190" s="1949"/>
      <c r="F190" s="2147"/>
      <c r="G190" s="1951"/>
      <c r="H190" s="2149">
        <v>36.03</v>
      </c>
      <c r="I190" s="1096">
        <f t="shared" si="61"/>
        <v>-1</v>
      </c>
      <c r="J190" s="2149"/>
      <c r="K190" s="2150"/>
      <c r="L190" s="2150"/>
      <c r="M190" s="2150"/>
      <c r="N190" s="2151"/>
      <c r="O190" s="2169"/>
      <c r="P190" s="2152"/>
      <c r="Q190" s="2152"/>
      <c r="R190" s="2162"/>
      <c r="S190" s="2162"/>
      <c r="T190" s="2162"/>
      <c r="U190" s="2163"/>
      <c r="V190" s="2152"/>
      <c r="Y190" s="84"/>
      <c r="Z190" s="84"/>
    </row>
    <row r="191" spans="1:26" ht="42" customHeight="1">
      <c r="A191" s="2730" t="s">
        <v>2233</v>
      </c>
      <c r="B191" s="2397" t="s">
        <v>2887</v>
      </c>
      <c r="C191" s="2393">
        <v>188711925</v>
      </c>
      <c r="D191" s="1639" t="s">
        <v>471</v>
      </c>
      <c r="E191" s="1051"/>
      <c r="F191" s="1424"/>
      <c r="G191" s="1317">
        <v>10</v>
      </c>
      <c r="H191" s="1053">
        <v>10</v>
      </c>
      <c r="I191" s="1604">
        <f t="shared" si="61"/>
        <v>2.4</v>
      </c>
      <c r="J191" s="1053">
        <f>SUM(J193,J194,J195,)</f>
        <v>34</v>
      </c>
      <c r="K191" s="1053">
        <v>34</v>
      </c>
      <c r="L191" s="1053">
        <f t="shared" ref="L191:M191" si="62">SUM(L193,L194,L195,)</f>
        <v>26</v>
      </c>
      <c r="M191" s="1053">
        <f t="shared" si="62"/>
        <v>28</v>
      </c>
      <c r="N191" s="2998" t="s">
        <v>2395</v>
      </c>
      <c r="O191" s="2349" t="s">
        <v>4033</v>
      </c>
      <c r="P191" s="2343" t="s">
        <v>1825</v>
      </c>
      <c r="Q191" s="2343" t="s">
        <v>4163</v>
      </c>
      <c r="R191" s="3487">
        <v>1</v>
      </c>
      <c r="S191" s="3487" t="s">
        <v>586</v>
      </c>
      <c r="T191" s="3487" t="s">
        <v>586</v>
      </c>
      <c r="U191" s="3487" t="s">
        <v>586</v>
      </c>
      <c r="V191" s="2343" t="s">
        <v>2592</v>
      </c>
      <c r="Y191" s="84"/>
      <c r="Z191" s="84"/>
    </row>
    <row r="192" spans="1:26" ht="42" customHeight="1">
      <c r="A192" s="2732"/>
      <c r="B192" s="2384"/>
      <c r="C192" s="2442"/>
      <c r="D192" s="1056" t="s">
        <v>1076</v>
      </c>
      <c r="E192" s="1057">
        <f>SUM(E184:E191)</f>
        <v>0</v>
      </c>
      <c r="F192" s="1407"/>
      <c r="G192" s="2046">
        <f>G191</f>
        <v>10</v>
      </c>
      <c r="H192" s="1059">
        <f t="shared" ref="H192:M192" si="63">H191</f>
        <v>10</v>
      </c>
      <c r="I192" s="1060">
        <f t="shared" si="61"/>
        <v>2.4</v>
      </c>
      <c r="J192" s="1059">
        <f t="shared" si="63"/>
        <v>34</v>
      </c>
      <c r="K192" s="1059">
        <f t="shared" si="63"/>
        <v>34</v>
      </c>
      <c r="L192" s="1059">
        <f t="shared" si="63"/>
        <v>26</v>
      </c>
      <c r="M192" s="1059">
        <f t="shared" si="63"/>
        <v>28</v>
      </c>
      <c r="N192" s="3000"/>
      <c r="O192" s="2350"/>
      <c r="P192" s="2344"/>
      <c r="Q192" s="2344"/>
      <c r="R192" s="3488"/>
      <c r="S192" s="3488"/>
      <c r="T192" s="3488"/>
      <c r="U192" s="3488"/>
      <c r="V192" s="2344"/>
      <c r="Y192" s="84"/>
      <c r="Z192" s="84"/>
    </row>
    <row r="193" spans="1:27" ht="42.75" hidden="1" customHeight="1">
      <c r="A193" s="1830" t="s">
        <v>3450</v>
      </c>
      <c r="B193" s="977" t="s">
        <v>3447</v>
      </c>
      <c r="C193" s="2170"/>
      <c r="D193" s="1189"/>
      <c r="E193" s="1127"/>
      <c r="F193" s="1427"/>
      <c r="G193" s="1882"/>
      <c r="H193" s="1005"/>
      <c r="I193" s="1126"/>
      <c r="J193" s="1068">
        <v>17</v>
      </c>
      <c r="K193" s="989">
        <v>17</v>
      </c>
      <c r="L193" s="989">
        <v>18</v>
      </c>
      <c r="M193" s="989">
        <v>19</v>
      </c>
      <c r="N193" s="2020"/>
      <c r="O193" s="2699" t="s">
        <v>3449</v>
      </c>
      <c r="P193" s="3499"/>
      <c r="Q193" s="3500"/>
      <c r="R193" s="3500"/>
      <c r="S193" s="3500"/>
      <c r="T193" s="3500"/>
      <c r="U193" s="3500"/>
      <c r="V193" s="3501"/>
      <c r="Y193" s="84"/>
      <c r="Z193" s="84"/>
    </row>
    <row r="194" spans="1:27" ht="32.25" hidden="1" customHeight="1">
      <c r="A194" s="1830" t="s">
        <v>3450</v>
      </c>
      <c r="B194" s="977" t="s">
        <v>3448</v>
      </c>
      <c r="C194" s="2170"/>
      <c r="D194" s="1189"/>
      <c r="E194" s="1127"/>
      <c r="F194" s="1427"/>
      <c r="G194" s="1882"/>
      <c r="H194" s="1005"/>
      <c r="I194" s="1126"/>
      <c r="J194" s="1068">
        <v>7</v>
      </c>
      <c r="K194" s="989">
        <v>7</v>
      </c>
      <c r="L194" s="989">
        <v>8</v>
      </c>
      <c r="M194" s="989">
        <v>9</v>
      </c>
      <c r="N194" s="2020"/>
      <c r="O194" s="2700"/>
      <c r="P194" s="2707"/>
      <c r="Q194" s="2708"/>
      <c r="R194" s="2708"/>
      <c r="S194" s="2708"/>
      <c r="T194" s="2708"/>
      <c r="U194" s="2708"/>
      <c r="V194" s="2709"/>
      <c r="Y194" s="84"/>
      <c r="Z194" s="84"/>
    </row>
    <row r="195" spans="1:27" ht="42" hidden="1" customHeight="1">
      <c r="A195" s="1830" t="s">
        <v>3445</v>
      </c>
      <c r="B195" s="977" t="s">
        <v>3446</v>
      </c>
      <c r="C195" s="2170"/>
      <c r="D195" s="1189"/>
      <c r="E195" s="1127"/>
      <c r="F195" s="1427"/>
      <c r="G195" s="1882"/>
      <c r="H195" s="1005"/>
      <c r="I195" s="1126"/>
      <c r="J195" s="1068">
        <v>10</v>
      </c>
      <c r="K195" s="989">
        <v>10</v>
      </c>
      <c r="L195" s="989"/>
      <c r="M195" s="989"/>
      <c r="N195" s="2020"/>
      <c r="O195" s="2701"/>
      <c r="P195" s="2710"/>
      <c r="Q195" s="2711"/>
      <c r="R195" s="2711"/>
      <c r="S195" s="2711"/>
      <c r="T195" s="2711"/>
      <c r="U195" s="2711"/>
      <c r="V195" s="2712"/>
      <c r="Y195" s="84"/>
      <c r="Z195" s="84"/>
    </row>
    <row r="196" spans="1:27" ht="63.6" customHeight="1">
      <c r="A196" s="954" t="s">
        <v>2256</v>
      </c>
      <c r="B196" s="954" t="s">
        <v>1317</v>
      </c>
      <c r="C196" s="954"/>
      <c r="D196" s="954"/>
      <c r="E196" s="1049">
        <f>E198</f>
        <v>19</v>
      </c>
      <c r="F196" s="1368">
        <f t="shared" si="56"/>
        <v>-0.47368421052631576</v>
      </c>
      <c r="G196" s="2082">
        <f t="shared" ref="G196:M196" si="64">G198</f>
        <v>21</v>
      </c>
      <c r="H196" s="1006">
        <f t="shared" si="64"/>
        <v>10</v>
      </c>
      <c r="I196" s="1096">
        <f t="shared" si="61"/>
        <v>1</v>
      </c>
      <c r="J196" s="1049">
        <f t="shared" si="64"/>
        <v>20</v>
      </c>
      <c r="K196" s="1006">
        <f t="shared" si="64"/>
        <v>10</v>
      </c>
      <c r="L196" s="1006">
        <f t="shared" si="64"/>
        <v>259</v>
      </c>
      <c r="M196" s="1006">
        <f t="shared" si="64"/>
        <v>465.3</v>
      </c>
      <c r="N196" s="2083" t="s">
        <v>2449</v>
      </c>
      <c r="O196" s="954"/>
      <c r="P196" s="954" t="s">
        <v>1707</v>
      </c>
      <c r="Q196" s="954" t="s">
        <v>1022</v>
      </c>
      <c r="R196" s="954">
        <v>1.56</v>
      </c>
      <c r="S196" s="954">
        <v>2</v>
      </c>
      <c r="T196" s="954">
        <v>2.1</v>
      </c>
      <c r="U196" s="954">
        <v>2.1</v>
      </c>
      <c r="V196" s="954" t="s">
        <v>1022</v>
      </c>
      <c r="Y196" s="84"/>
      <c r="Z196" s="84"/>
    </row>
    <row r="197" spans="1:27" ht="42" customHeight="1">
      <c r="A197" s="2810" t="s">
        <v>2234</v>
      </c>
      <c r="B197" s="3571" t="s">
        <v>3544</v>
      </c>
      <c r="C197" s="2706">
        <v>188711925</v>
      </c>
      <c r="D197" s="1035" t="s">
        <v>471</v>
      </c>
      <c r="E197" s="1051">
        <v>19</v>
      </c>
      <c r="F197" s="1424">
        <f t="shared" si="56"/>
        <v>-0.47368421052631576</v>
      </c>
      <c r="G197" s="1317">
        <v>21</v>
      </c>
      <c r="H197" s="1053">
        <v>10</v>
      </c>
      <c r="I197" s="1604">
        <f t="shared" si="61"/>
        <v>1</v>
      </c>
      <c r="J197" s="1051">
        <v>20</v>
      </c>
      <c r="K197" s="1053">
        <v>10</v>
      </c>
      <c r="L197" s="1053">
        <v>259</v>
      </c>
      <c r="M197" s="1053">
        <v>465.3</v>
      </c>
      <c r="N197" s="2998" t="s">
        <v>2450</v>
      </c>
      <c r="O197" s="2443" t="s">
        <v>1771</v>
      </c>
      <c r="P197" s="2343" t="s">
        <v>1706</v>
      </c>
      <c r="Q197" s="2343" t="s">
        <v>1632</v>
      </c>
      <c r="R197" s="3487">
        <v>1</v>
      </c>
      <c r="S197" s="3487">
        <v>2</v>
      </c>
      <c r="T197" s="3487">
        <v>2</v>
      </c>
      <c r="U197" s="3487">
        <v>3</v>
      </c>
      <c r="V197" s="2343" t="s">
        <v>2597</v>
      </c>
      <c r="Y197" s="84"/>
      <c r="Z197" s="84"/>
    </row>
    <row r="198" spans="1:27" ht="42" customHeight="1">
      <c r="A198" s="2810"/>
      <c r="B198" s="3571"/>
      <c r="C198" s="2706"/>
      <c r="D198" s="1056" t="s">
        <v>1076</v>
      </c>
      <c r="E198" s="1057">
        <f>SUM(E197)</f>
        <v>19</v>
      </c>
      <c r="F198" s="1407">
        <f t="shared" si="56"/>
        <v>-0.47368421052631576</v>
      </c>
      <c r="G198" s="2046">
        <f t="shared" ref="G198:M198" si="65">SUM(G197)</f>
        <v>21</v>
      </c>
      <c r="H198" s="1059">
        <f t="shared" si="65"/>
        <v>10</v>
      </c>
      <c r="I198" s="1060">
        <f t="shared" si="61"/>
        <v>1</v>
      </c>
      <c r="J198" s="1057">
        <f t="shared" si="65"/>
        <v>20</v>
      </c>
      <c r="K198" s="1059">
        <f t="shared" si="65"/>
        <v>10</v>
      </c>
      <c r="L198" s="1059">
        <f t="shared" si="65"/>
        <v>259</v>
      </c>
      <c r="M198" s="1059">
        <f t="shared" si="65"/>
        <v>465.3</v>
      </c>
      <c r="N198" s="3000"/>
      <c r="O198" s="3496"/>
      <c r="P198" s="2344"/>
      <c r="Q198" s="2344"/>
      <c r="R198" s="3488"/>
      <c r="S198" s="3488"/>
      <c r="T198" s="3488"/>
      <c r="U198" s="3488"/>
      <c r="V198" s="2344"/>
      <c r="Y198" s="84"/>
      <c r="Z198" s="84"/>
    </row>
    <row r="199" spans="1:27" ht="42" hidden="1" customHeight="1">
      <c r="A199" s="2171" t="s">
        <v>2257</v>
      </c>
      <c r="B199" s="2171" t="s">
        <v>1318</v>
      </c>
      <c r="C199" s="2171"/>
      <c r="D199" s="2171"/>
      <c r="E199" s="2172">
        <f>E201</f>
        <v>0</v>
      </c>
      <c r="F199" s="2173" t="e">
        <f t="shared" si="56"/>
        <v>#DIV/0!</v>
      </c>
      <c r="G199" s="2174"/>
      <c r="H199" s="2171"/>
      <c r="I199" s="1096" t="e">
        <f t="shared" si="61"/>
        <v>#DIV/0!</v>
      </c>
      <c r="J199" s="2175"/>
      <c r="K199" s="2171"/>
      <c r="L199" s="2171"/>
      <c r="M199" s="2171"/>
      <c r="N199" s="2176"/>
      <c r="O199" s="2171"/>
      <c r="P199" s="2171" t="s">
        <v>1708</v>
      </c>
      <c r="Q199" s="2171" t="s">
        <v>2598</v>
      </c>
      <c r="R199" s="2171">
        <v>0</v>
      </c>
      <c r="S199" s="2171">
        <v>0</v>
      </c>
      <c r="T199" s="2171">
        <v>0</v>
      </c>
      <c r="U199" s="2171"/>
      <c r="V199" s="2171"/>
      <c r="Y199" s="84"/>
      <c r="Z199" s="84"/>
    </row>
    <row r="200" spans="1:27" ht="42" hidden="1" customHeight="1">
      <c r="A200" s="3530" t="s">
        <v>2235</v>
      </c>
      <c r="B200" s="3532" t="s">
        <v>1319</v>
      </c>
      <c r="C200" s="3534"/>
      <c r="D200" s="2177" t="s">
        <v>471</v>
      </c>
      <c r="E200" s="2178">
        <v>0</v>
      </c>
      <c r="F200" s="2173" t="e">
        <f t="shared" si="56"/>
        <v>#DIV/0!</v>
      </c>
      <c r="G200" s="2179"/>
      <c r="H200" s="2180"/>
      <c r="I200" s="1096" t="e">
        <f t="shared" si="61"/>
        <v>#DIV/0!</v>
      </c>
      <c r="J200" s="2178"/>
      <c r="K200" s="2180"/>
      <c r="L200" s="2180"/>
      <c r="M200" s="2180"/>
      <c r="N200" s="3569"/>
      <c r="O200" s="3575" t="s">
        <v>2599</v>
      </c>
      <c r="P200" s="3497" t="s">
        <v>1709</v>
      </c>
      <c r="Q200" s="3497" t="s">
        <v>2600</v>
      </c>
      <c r="R200" s="3528">
        <v>1</v>
      </c>
      <c r="S200" s="3528">
        <v>1</v>
      </c>
      <c r="T200" s="3528">
        <v>1</v>
      </c>
      <c r="U200" s="2181"/>
      <c r="V200" s="3497"/>
      <c r="Y200" s="84"/>
      <c r="Z200" s="84"/>
    </row>
    <row r="201" spans="1:27" ht="42" hidden="1" customHeight="1">
      <c r="A201" s="3531"/>
      <c r="B201" s="3533"/>
      <c r="C201" s="3535"/>
      <c r="D201" s="2182" t="s">
        <v>1076</v>
      </c>
      <c r="E201" s="2183"/>
      <c r="F201" s="2184" t="e">
        <f t="shared" si="56"/>
        <v>#DIV/0!</v>
      </c>
      <c r="G201" s="2185"/>
      <c r="H201" s="2186"/>
      <c r="I201" s="2101" t="e">
        <f t="shared" si="61"/>
        <v>#DIV/0!</v>
      </c>
      <c r="J201" s="2183"/>
      <c r="K201" s="2186"/>
      <c r="L201" s="2186"/>
      <c r="M201" s="2186"/>
      <c r="N201" s="3570"/>
      <c r="O201" s="3576"/>
      <c r="P201" s="3498"/>
      <c r="Q201" s="3498"/>
      <c r="R201" s="3529"/>
      <c r="S201" s="3529"/>
      <c r="T201" s="3529"/>
      <c r="U201" s="2187"/>
      <c r="V201" s="3498"/>
      <c r="Y201" s="84"/>
      <c r="Z201" s="84"/>
    </row>
    <row r="202" spans="1:27" ht="42" hidden="1" customHeight="1">
      <c r="A202" s="2188"/>
      <c r="B202" s="2189" t="s">
        <v>3946</v>
      </c>
      <c r="C202" s="1437"/>
      <c r="D202" s="1024"/>
      <c r="E202" s="1142"/>
      <c r="F202" s="2190"/>
      <c r="G202" s="2191"/>
      <c r="H202" s="1081"/>
      <c r="I202" s="1144"/>
      <c r="J202" s="1398">
        <v>20</v>
      </c>
      <c r="K202" s="993">
        <v>10</v>
      </c>
      <c r="L202" s="993">
        <v>10</v>
      </c>
      <c r="M202" s="993">
        <v>10</v>
      </c>
      <c r="N202" s="1719"/>
      <c r="O202" s="2192"/>
      <c r="P202" s="1441"/>
      <c r="Q202" s="1441"/>
      <c r="R202" s="2193"/>
      <c r="S202" s="2193"/>
      <c r="T202" s="2193"/>
      <c r="U202" s="2193"/>
      <c r="V202" s="1442"/>
      <c r="Y202" s="84"/>
      <c r="Z202" s="84"/>
    </row>
    <row r="203" spans="1:27" ht="42" hidden="1" customHeight="1">
      <c r="A203" s="1364"/>
      <c r="B203" s="2194" t="s">
        <v>3496</v>
      </c>
      <c r="C203" s="1078"/>
      <c r="D203" s="1022"/>
      <c r="E203" s="1120"/>
      <c r="F203" s="2010"/>
      <c r="G203" s="1120"/>
      <c r="H203" s="1075"/>
      <c r="I203" s="1067"/>
      <c r="J203" s="1120"/>
      <c r="K203" s="1075"/>
      <c r="L203" s="989">
        <v>1260.442</v>
      </c>
      <c r="M203" s="989">
        <v>1260.443</v>
      </c>
      <c r="N203" s="1075"/>
      <c r="O203" s="1009" t="s">
        <v>3499</v>
      </c>
      <c r="P203" s="992"/>
      <c r="Q203" s="992"/>
      <c r="R203" s="2195"/>
      <c r="S203" s="2195"/>
      <c r="T203" s="2195"/>
      <c r="U203" s="2195"/>
      <c r="V203" s="1452"/>
      <c r="Y203" s="84"/>
      <c r="Z203" s="84"/>
    </row>
    <row r="204" spans="1:27" ht="42" hidden="1" customHeight="1">
      <c r="A204" s="1364"/>
      <c r="B204" s="2194" t="s">
        <v>3497</v>
      </c>
      <c r="C204" s="1078"/>
      <c r="D204" s="1022"/>
      <c r="E204" s="1120"/>
      <c r="F204" s="2010"/>
      <c r="G204" s="1120"/>
      <c r="H204" s="1075"/>
      <c r="I204" s="1067"/>
      <c r="J204" s="1120"/>
      <c r="K204" s="1075"/>
      <c r="L204" s="989">
        <v>565.63800000000003</v>
      </c>
      <c r="M204" s="989">
        <v>565.63800000000003</v>
      </c>
      <c r="N204" s="1075"/>
      <c r="O204" s="1009" t="s">
        <v>3500</v>
      </c>
      <c r="P204" s="992"/>
      <c r="Q204" s="992"/>
      <c r="R204" s="2195"/>
      <c r="S204" s="2195"/>
      <c r="T204" s="2195"/>
      <c r="U204" s="2195"/>
      <c r="V204" s="1452"/>
      <c r="Y204" s="84"/>
      <c r="Z204" s="84"/>
    </row>
    <row r="205" spans="1:27" ht="42" hidden="1" customHeight="1">
      <c r="A205" s="1364"/>
      <c r="B205" s="2194" t="s">
        <v>3498</v>
      </c>
      <c r="C205" s="1078"/>
      <c r="D205" s="1022"/>
      <c r="E205" s="1120"/>
      <c r="F205" s="2010"/>
      <c r="G205" s="2072"/>
      <c r="H205" s="1075"/>
      <c r="I205" s="1067"/>
      <c r="J205" s="1120"/>
      <c r="K205" s="1075"/>
      <c r="L205" s="989">
        <v>450.42</v>
      </c>
      <c r="M205" s="989">
        <v>450.42</v>
      </c>
      <c r="N205" s="2018"/>
      <c r="O205" s="1009" t="s">
        <v>3501</v>
      </c>
      <c r="P205" s="992"/>
      <c r="Q205" s="992"/>
      <c r="R205" s="2195"/>
      <c r="S205" s="2195"/>
      <c r="T205" s="2195"/>
      <c r="U205" s="2195"/>
      <c r="V205" s="1452"/>
      <c r="Y205" s="84"/>
      <c r="Z205" s="84"/>
    </row>
    <row r="206" spans="1:27" ht="57.6" customHeight="1">
      <c r="A206" s="954" t="s">
        <v>2255</v>
      </c>
      <c r="B206" s="954" t="s">
        <v>1320</v>
      </c>
      <c r="C206" s="954"/>
      <c r="D206" s="954"/>
      <c r="E206" s="1046">
        <f>SUM(E208,E210,E214,E216,E219,E225,E227,E229,E231)</f>
        <v>4341.0519999999997</v>
      </c>
      <c r="F206" s="1368">
        <f t="shared" si="56"/>
        <v>-0.93973810956422543</v>
      </c>
      <c r="G206" s="2082">
        <f>SUM(G208,G210,G214,G216,G219,G225,G227,G229,G231)</f>
        <v>297.3</v>
      </c>
      <c r="H206" s="1006">
        <f>SUM(H208,H210,H214,H216,H219,H225,H227,H229,H231)</f>
        <v>261.60000000000002</v>
      </c>
      <c r="I206" s="1096">
        <f t="shared" si="61"/>
        <v>0.90057721712538208</v>
      </c>
      <c r="J206" s="1006">
        <f>SUM(J208,J210,J214,J216,J219,J225,J227,J229,J231)</f>
        <v>497.19099999999997</v>
      </c>
      <c r="K206" s="1006">
        <f>SUM(K208,K210,K214,K216,K219,K225,K227,K229,K231)</f>
        <v>481.26</v>
      </c>
      <c r="L206" s="1006">
        <f>SUM(L208,L210,L214,L216,L219,L225,L227,L229,L231)</f>
        <v>486.029</v>
      </c>
      <c r="M206" s="1006">
        <f>SUM(M208,M210,M214,M216,M219,M225,M227,M229,M231)</f>
        <v>148.48000000000002</v>
      </c>
      <c r="N206" s="2083"/>
      <c r="O206" s="954"/>
      <c r="P206" s="954" t="s">
        <v>1710</v>
      </c>
      <c r="Q206" s="954" t="s">
        <v>2602</v>
      </c>
      <c r="R206" s="954" t="s">
        <v>586</v>
      </c>
      <c r="S206" s="954" t="s">
        <v>586</v>
      </c>
      <c r="T206" s="954" t="s">
        <v>586</v>
      </c>
      <c r="U206" s="954" t="s">
        <v>586</v>
      </c>
      <c r="V206" s="954" t="s">
        <v>357</v>
      </c>
      <c r="Y206" s="84"/>
      <c r="Z206" s="84"/>
      <c r="AA206" s="84" t="s">
        <v>2679</v>
      </c>
    </row>
    <row r="207" spans="1:27" ht="42" customHeight="1">
      <c r="A207" s="2727" t="s">
        <v>2236</v>
      </c>
      <c r="B207" s="2574" t="s">
        <v>1321</v>
      </c>
      <c r="C207" s="2897">
        <v>188711925</v>
      </c>
      <c r="D207" s="1098" t="s">
        <v>48</v>
      </c>
      <c r="E207" s="1099">
        <v>5</v>
      </c>
      <c r="F207" s="1424">
        <f t="shared" si="56"/>
        <v>5.9999999999999963E-2</v>
      </c>
      <c r="G207" s="2050">
        <v>0.3</v>
      </c>
      <c r="H207" s="1053">
        <v>5.3</v>
      </c>
      <c r="I207" s="1604">
        <f t="shared" si="61"/>
        <v>-0.81132075471698117</v>
      </c>
      <c r="J207" s="1051">
        <v>1</v>
      </c>
      <c r="K207" s="1053">
        <v>1</v>
      </c>
      <c r="L207" s="1053">
        <v>0.5</v>
      </c>
      <c r="M207" s="1053">
        <v>0.5</v>
      </c>
      <c r="N207" s="3568" t="s">
        <v>2492</v>
      </c>
      <c r="O207" s="2395" t="s">
        <v>3451</v>
      </c>
      <c r="P207" s="2343" t="s">
        <v>1711</v>
      </c>
      <c r="Q207" s="2343" t="s">
        <v>1633</v>
      </c>
      <c r="R207" s="2343" t="s">
        <v>4</v>
      </c>
      <c r="S207" s="2343" t="s">
        <v>434</v>
      </c>
      <c r="T207" s="2343" t="s">
        <v>434</v>
      </c>
      <c r="U207" s="2343"/>
      <c r="V207" s="2343" t="s">
        <v>2493</v>
      </c>
      <c r="Y207" s="84"/>
      <c r="Z207" s="84"/>
    </row>
    <row r="208" spans="1:27" ht="42" customHeight="1">
      <c r="A208" s="2727"/>
      <c r="B208" s="2575"/>
      <c r="C208" s="2881"/>
      <c r="D208" s="1083" t="s">
        <v>1076</v>
      </c>
      <c r="E208" s="1057">
        <f>SUM(E207:E207)</f>
        <v>5</v>
      </c>
      <c r="F208" s="1407">
        <f t="shared" si="56"/>
        <v>5.9999999999999963E-2</v>
      </c>
      <c r="G208" s="2046">
        <f t="shared" ref="G208:M208" si="66">SUM(G207:G207)</f>
        <v>0.3</v>
      </c>
      <c r="H208" s="1059">
        <f t="shared" si="66"/>
        <v>5.3</v>
      </c>
      <c r="I208" s="1060">
        <f t="shared" si="61"/>
        <v>-0.81132075471698117</v>
      </c>
      <c r="J208" s="1057">
        <f t="shared" si="66"/>
        <v>1</v>
      </c>
      <c r="K208" s="1059">
        <f t="shared" si="66"/>
        <v>1</v>
      </c>
      <c r="L208" s="1059">
        <f t="shared" si="66"/>
        <v>0.5</v>
      </c>
      <c r="M208" s="1059">
        <f t="shared" si="66"/>
        <v>0.5</v>
      </c>
      <c r="N208" s="3568"/>
      <c r="O208" s="2396"/>
      <c r="P208" s="2344"/>
      <c r="Q208" s="2344"/>
      <c r="R208" s="2344"/>
      <c r="S208" s="2344"/>
      <c r="T208" s="2344"/>
      <c r="U208" s="2344"/>
      <c r="V208" s="2344"/>
      <c r="Y208" s="84"/>
      <c r="Z208" s="84"/>
    </row>
    <row r="209" spans="1:84" s="146" customFormat="1" ht="42" hidden="1" customHeight="1">
      <c r="A209" s="3526" t="s">
        <v>2237</v>
      </c>
      <c r="B209" s="3527" t="s">
        <v>1322</v>
      </c>
      <c r="C209" s="3525">
        <v>188711925</v>
      </c>
      <c r="D209" s="2196" t="s">
        <v>48</v>
      </c>
      <c r="E209" s="2178">
        <v>0</v>
      </c>
      <c r="F209" s="2173" t="e">
        <f t="shared" si="56"/>
        <v>#DIV/0!</v>
      </c>
      <c r="G209" s="2179">
        <v>0</v>
      </c>
      <c r="H209" s="2180"/>
      <c r="I209" s="1096" t="e">
        <f t="shared" si="61"/>
        <v>#DIV/0!</v>
      </c>
      <c r="J209" s="2178"/>
      <c r="K209" s="2180">
        <v>0</v>
      </c>
      <c r="L209" s="2180">
        <v>0</v>
      </c>
      <c r="M209" s="2180"/>
      <c r="N209" s="3568" t="s">
        <v>2601</v>
      </c>
      <c r="O209" s="3494" t="s">
        <v>2455</v>
      </c>
      <c r="P209" s="3522"/>
      <c r="Q209" s="3522"/>
      <c r="R209" s="3522"/>
      <c r="S209" s="3522"/>
      <c r="T209" s="3522"/>
      <c r="U209" s="2197"/>
      <c r="V209" s="2343" t="s">
        <v>357</v>
      </c>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c r="BF209" s="84"/>
      <c r="BG209" s="84"/>
      <c r="BH209" s="84"/>
      <c r="BI209" s="84"/>
      <c r="BJ209" s="84"/>
      <c r="BK209" s="84"/>
      <c r="BL209" s="84"/>
      <c r="BM209" s="84"/>
      <c r="BN209" s="84"/>
      <c r="BO209" s="84"/>
      <c r="BP209" s="84"/>
      <c r="BQ209" s="84"/>
      <c r="BR209" s="84"/>
      <c r="BS209" s="84"/>
      <c r="BT209" s="84"/>
      <c r="BU209" s="84"/>
      <c r="BV209" s="84"/>
      <c r="BW209" s="84"/>
      <c r="BX209" s="84"/>
      <c r="BY209" s="84"/>
      <c r="BZ209" s="84"/>
      <c r="CA209" s="84"/>
      <c r="CB209" s="84"/>
      <c r="CC209" s="84"/>
      <c r="CD209" s="84"/>
      <c r="CE209" s="84"/>
      <c r="CF209" s="84"/>
    </row>
    <row r="210" spans="1:84" s="146" customFormat="1" ht="42" hidden="1" customHeight="1">
      <c r="A210" s="3526"/>
      <c r="B210" s="3527"/>
      <c r="C210" s="3525"/>
      <c r="D210" s="2198" t="s">
        <v>1076</v>
      </c>
      <c r="E210" s="2178">
        <f>SUM(E209:E209)</f>
        <v>0</v>
      </c>
      <c r="F210" s="2173" t="e">
        <f t="shared" si="56"/>
        <v>#DIV/0!</v>
      </c>
      <c r="G210" s="2179">
        <f t="shared" ref="G210:L210" si="67">SUM(G209:G209)</f>
        <v>0</v>
      </c>
      <c r="H210" s="2180">
        <f t="shared" si="67"/>
        <v>0</v>
      </c>
      <c r="I210" s="1096" t="e">
        <f t="shared" si="61"/>
        <v>#DIV/0!</v>
      </c>
      <c r="J210" s="2178"/>
      <c r="K210" s="2180">
        <f t="shared" si="67"/>
        <v>0</v>
      </c>
      <c r="L210" s="2180">
        <f t="shared" si="67"/>
        <v>0</v>
      </c>
      <c r="M210" s="2180"/>
      <c r="N210" s="3568"/>
      <c r="O210" s="3495"/>
      <c r="P210" s="3524"/>
      <c r="Q210" s="3523"/>
      <c r="R210" s="3523"/>
      <c r="S210" s="3523"/>
      <c r="T210" s="3523"/>
      <c r="U210" s="2199"/>
      <c r="V210" s="2345"/>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c r="BF210" s="84"/>
      <c r="BG210" s="84"/>
      <c r="BH210" s="84"/>
      <c r="BI210" s="84"/>
      <c r="BJ210" s="84"/>
      <c r="BK210" s="84"/>
      <c r="BL210" s="84"/>
      <c r="BM210" s="84"/>
      <c r="BN210" s="84"/>
      <c r="BO210" s="84"/>
      <c r="BP210" s="84"/>
      <c r="BQ210" s="84"/>
      <c r="BR210" s="84"/>
      <c r="BS210" s="84"/>
      <c r="BT210" s="84"/>
      <c r="BU210" s="84"/>
      <c r="BV210" s="84"/>
      <c r="BW210" s="84"/>
      <c r="BX210" s="84"/>
      <c r="BY210" s="84"/>
      <c r="BZ210" s="84"/>
      <c r="CA210" s="84"/>
      <c r="CB210" s="84"/>
      <c r="CC210" s="84"/>
      <c r="CD210" s="84"/>
      <c r="CE210" s="84"/>
      <c r="CF210" s="84"/>
    </row>
    <row r="211" spans="1:84" ht="28.15" hidden="1" customHeight="1">
      <c r="A211" s="2997" t="s">
        <v>2238</v>
      </c>
      <c r="B211" s="3562" t="s">
        <v>1323</v>
      </c>
      <c r="C211" s="3521">
        <v>188711925</v>
      </c>
      <c r="D211" s="1753" t="s">
        <v>48</v>
      </c>
      <c r="E211" s="1495">
        <v>2375.85</v>
      </c>
      <c r="F211" s="1496">
        <f t="shared" si="56"/>
        <v>-1</v>
      </c>
      <c r="G211" s="2052"/>
      <c r="H211" s="1497"/>
      <c r="I211" s="2061"/>
      <c r="J211" s="1495"/>
      <c r="K211" s="1497"/>
      <c r="L211" s="1497"/>
      <c r="M211" s="1497"/>
      <c r="N211" s="3568"/>
      <c r="O211" s="3030" t="s">
        <v>2587</v>
      </c>
      <c r="P211" s="2852" t="s">
        <v>1712</v>
      </c>
      <c r="Q211" s="2852" t="s">
        <v>1634</v>
      </c>
      <c r="R211" s="2852" t="s">
        <v>434</v>
      </c>
      <c r="S211" s="2852" t="s">
        <v>434</v>
      </c>
      <c r="T211" s="2852" t="s">
        <v>434</v>
      </c>
      <c r="U211" s="1655"/>
      <c r="V211" s="2345"/>
      <c r="Y211" s="84"/>
      <c r="Z211" s="84"/>
    </row>
    <row r="212" spans="1:84" ht="26.45" hidden="1" customHeight="1">
      <c r="A212" s="2997"/>
      <c r="B212" s="3562"/>
      <c r="C212" s="3521"/>
      <c r="D212" s="1753" t="s">
        <v>246</v>
      </c>
      <c r="E212" s="1495">
        <v>1204.2070000000001</v>
      </c>
      <c r="F212" s="1496">
        <f t="shared" si="56"/>
        <v>-1</v>
      </c>
      <c r="G212" s="2052"/>
      <c r="H212" s="1497"/>
      <c r="I212" s="2061"/>
      <c r="J212" s="1495"/>
      <c r="K212" s="1497"/>
      <c r="L212" s="1497"/>
      <c r="M212" s="1497"/>
      <c r="N212" s="3568"/>
      <c r="O212" s="3031"/>
      <c r="P212" s="2917"/>
      <c r="Q212" s="2917"/>
      <c r="R212" s="2917"/>
      <c r="S212" s="2917"/>
      <c r="T212" s="2917"/>
      <c r="U212" s="1655"/>
      <c r="V212" s="2345"/>
      <c r="Y212" s="84"/>
      <c r="Z212" s="84"/>
    </row>
    <row r="213" spans="1:84" ht="26.45" hidden="1" customHeight="1">
      <c r="A213" s="2997"/>
      <c r="B213" s="3562"/>
      <c r="C213" s="3521"/>
      <c r="D213" s="1753" t="s">
        <v>1394</v>
      </c>
      <c r="E213" s="1495">
        <v>411.995</v>
      </c>
      <c r="F213" s="1496">
        <f t="shared" si="56"/>
        <v>-1</v>
      </c>
      <c r="G213" s="2052"/>
      <c r="H213" s="1497"/>
      <c r="I213" s="2061"/>
      <c r="J213" s="1495"/>
      <c r="K213" s="1497"/>
      <c r="L213" s="1497"/>
      <c r="M213" s="1497"/>
      <c r="N213" s="3568"/>
      <c r="O213" s="3031"/>
      <c r="P213" s="2917"/>
      <c r="Q213" s="2917"/>
      <c r="R213" s="2917"/>
      <c r="S213" s="2917"/>
      <c r="T213" s="2917"/>
      <c r="U213" s="1655"/>
      <c r="V213" s="2345"/>
      <c r="Y213" s="84"/>
      <c r="Z213" s="84"/>
    </row>
    <row r="214" spans="1:84" ht="34.15" hidden="1" customHeight="1">
      <c r="A214" s="2997"/>
      <c r="B214" s="3562"/>
      <c r="C214" s="3521"/>
      <c r="D214" s="1758" t="s">
        <v>1076</v>
      </c>
      <c r="E214" s="1495">
        <f>SUM(E211:E213)</f>
        <v>3992.0519999999997</v>
      </c>
      <c r="F214" s="1496">
        <f t="shared" si="56"/>
        <v>-1</v>
      </c>
      <c r="G214" s="2052">
        <f t="shared" ref="G214:L214" si="68">SUM(G211:G213)</f>
        <v>0</v>
      </c>
      <c r="H214" s="1497">
        <f t="shared" si="68"/>
        <v>0</v>
      </c>
      <c r="I214" s="2061"/>
      <c r="J214" s="1495"/>
      <c r="K214" s="1497">
        <f t="shared" si="68"/>
        <v>0</v>
      </c>
      <c r="L214" s="1497">
        <f t="shared" si="68"/>
        <v>0</v>
      </c>
      <c r="M214" s="1497"/>
      <c r="N214" s="3568"/>
      <c r="O214" s="3031"/>
      <c r="P214" s="2917"/>
      <c r="Q214" s="2917"/>
      <c r="R214" s="2917"/>
      <c r="S214" s="2917"/>
      <c r="T214" s="2917"/>
      <c r="U214" s="1655"/>
      <c r="V214" s="2345"/>
      <c r="Y214" s="84"/>
      <c r="Z214" s="84"/>
    </row>
    <row r="215" spans="1:84" ht="42" customHeight="1">
      <c r="A215" s="2727" t="s">
        <v>2239</v>
      </c>
      <c r="B215" s="2575" t="s">
        <v>1324</v>
      </c>
      <c r="C215" s="2881">
        <v>188711925</v>
      </c>
      <c r="D215" s="1082" t="s">
        <v>48</v>
      </c>
      <c r="E215" s="1051">
        <v>280</v>
      </c>
      <c r="F215" s="1424">
        <f t="shared" si="56"/>
        <v>-0.33464285714285708</v>
      </c>
      <c r="G215" s="1317">
        <v>200</v>
      </c>
      <c r="H215" s="1053">
        <v>186.3</v>
      </c>
      <c r="I215" s="1604">
        <f t="shared" si="61"/>
        <v>-0.44472356414385406</v>
      </c>
      <c r="J215" s="1051">
        <v>103.44799999999999</v>
      </c>
      <c r="K215" s="1053">
        <v>92.36</v>
      </c>
      <c r="L215" s="1053">
        <v>95.13</v>
      </c>
      <c r="M215" s="1053">
        <v>97.98</v>
      </c>
      <c r="N215" s="3568"/>
      <c r="O215" s="2395" t="s">
        <v>2910</v>
      </c>
      <c r="P215" s="2343" t="s">
        <v>1713</v>
      </c>
      <c r="Q215" s="2343" t="s">
        <v>2458</v>
      </c>
      <c r="R215" s="2343" t="s">
        <v>434</v>
      </c>
      <c r="S215" s="2342" t="s">
        <v>1470</v>
      </c>
      <c r="T215" s="2342" t="s">
        <v>434</v>
      </c>
      <c r="U215" s="2342" t="s">
        <v>434</v>
      </c>
      <c r="V215" s="2345"/>
      <c r="Y215" s="84"/>
      <c r="Z215" s="84"/>
    </row>
    <row r="216" spans="1:84" ht="42" customHeight="1">
      <c r="A216" s="2727"/>
      <c r="B216" s="2575"/>
      <c r="C216" s="2881"/>
      <c r="D216" s="1083" t="s">
        <v>1076</v>
      </c>
      <c r="E216" s="1057">
        <f>E215</f>
        <v>280</v>
      </c>
      <c r="F216" s="1407">
        <f t="shared" si="56"/>
        <v>-0.33464285714285708</v>
      </c>
      <c r="G216" s="2046">
        <f t="shared" ref="G216:M216" si="69">G215</f>
        <v>200</v>
      </c>
      <c r="H216" s="1059">
        <f t="shared" si="69"/>
        <v>186.3</v>
      </c>
      <c r="I216" s="1060">
        <f t="shared" si="61"/>
        <v>-0.44472356414385406</v>
      </c>
      <c r="J216" s="1057">
        <f t="shared" si="69"/>
        <v>103.44799999999999</v>
      </c>
      <c r="K216" s="1059">
        <f t="shared" si="69"/>
        <v>92.36</v>
      </c>
      <c r="L216" s="1059">
        <f t="shared" si="69"/>
        <v>95.13</v>
      </c>
      <c r="M216" s="1059">
        <f t="shared" si="69"/>
        <v>97.98</v>
      </c>
      <c r="N216" s="3568"/>
      <c r="O216" s="2396"/>
      <c r="P216" s="2344"/>
      <c r="Q216" s="2345"/>
      <c r="R216" s="2345"/>
      <c r="S216" s="2342"/>
      <c r="T216" s="2342"/>
      <c r="U216" s="2342"/>
      <c r="V216" s="2345"/>
      <c r="Y216" s="84"/>
      <c r="Z216" s="84"/>
    </row>
    <row r="217" spans="1:84" ht="69" customHeight="1">
      <c r="A217" s="2727" t="s">
        <v>2240</v>
      </c>
      <c r="B217" s="2575" t="s">
        <v>2873</v>
      </c>
      <c r="C217" s="2881">
        <v>188711925</v>
      </c>
      <c r="D217" s="1082" t="s">
        <v>471</v>
      </c>
      <c r="E217" s="1051">
        <v>50</v>
      </c>
      <c r="F217" s="1424">
        <f t="shared" si="56"/>
        <v>0.3</v>
      </c>
      <c r="G217" s="1317">
        <f>50+25</f>
        <v>75</v>
      </c>
      <c r="H217" s="1053">
        <v>65</v>
      </c>
      <c r="I217" s="1604">
        <f t="shared" si="61"/>
        <v>4.9960461538461534</v>
      </c>
      <c r="J217" s="1051">
        <f>SUM(J220,J221,J222,J223)</f>
        <v>389.74299999999999</v>
      </c>
      <c r="K217" s="1053">
        <v>21.9</v>
      </c>
      <c r="L217" s="1053">
        <v>313.31900000000002</v>
      </c>
      <c r="M217" s="1053">
        <f>SUM(M220,M221,L222,M223)</f>
        <v>50</v>
      </c>
      <c r="N217" s="3568"/>
      <c r="O217" s="2395" t="s">
        <v>2681</v>
      </c>
      <c r="P217" s="2343" t="s">
        <v>1714</v>
      </c>
      <c r="Q217" s="2343" t="s">
        <v>2456</v>
      </c>
      <c r="R217" s="2343" t="s">
        <v>2457</v>
      </c>
      <c r="S217" s="2342" t="s">
        <v>2457</v>
      </c>
      <c r="T217" s="2342" t="s">
        <v>2457</v>
      </c>
      <c r="U217" s="2342" t="s">
        <v>2457</v>
      </c>
      <c r="V217" s="2345"/>
      <c r="W217" s="84" t="s">
        <v>2872</v>
      </c>
      <c r="Y217" s="84"/>
      <c r="Z217" s="84"/>
    </row>
    <row r="218" spans="1:84" ht="42.6" customHeight="1">
      <c r="A218" s="2807"/>
      <c r="B218" s="2580"/>
      <c r="C218" s="2887"/>
      <c r="D218" s="1082" t="s">
        <v>2928</v>
      </c>
      <c r="E218" s="1051"/>
      <c r="F218" s="1424"/>
      <c r="G218" s="1317"/>
      <c r="H218" s="1053"/>
      <c r="I218" s="1604"/>
      <c r="J218" s="1051"/>
      <c r="K218" s="1053">
        <v>363</v>
      </c>
      <c r="L218" s="1053">
        <v>72.08</v>
      </c>
      <c r="M218" s="1053"/>
      <c r="N218" s="3568"/>
      <c r="O218" s="2395"/>
      <c r="P218" s="2345"/>
      <c r="Q218" s="2345"/>
      <c r="R218" s="2345"/>
      <c r="S218" s="2342"/>
      <c r="T218" s="2342"/>
      <c r="U218" s="2342"/>
      <c r="V218" s="2345"/>
      <c r="Y218" s="84"/>
      <c r="Z218" s="84"/>
    </row>
    <row r="219" spans="1:84" ht="42" customHeight="1">
      <c r="A219" s="2807"/>
      <c r="B219" s="2580"/>
      <c r="C219" s="2887"/>
      <c r="D219" s="1083" t="s">
        <v>1076</v>
      </c>
      <c r="E219" s="1057">
        <f>E217</f>
        <v>50</v>
      </c>
      <c r="F219" s="1407">
        <f t="shared" si="56"/>
        <v>0.3</v>
      </c>
      <c r="G219" s="2046">
        <f t="shared" ref="G219:M219" si="70">G217</f>
        <v>75</v>
      </c>
      <c r="H219" s="1059">
        <f t="shared" si="70"/>
        <v>65</v>
      </c>
      <c r="I219" s="1060">
        <f t="shared" si="61"/>
        <v>4.9960461538461534</v>
      </c>
      <c r="J219" s="1057">
        <f t="shared" si="70"/>
        <v>389.74299999999999</v>
      </c>
      <c r="K219" s="1059">
        <f>K217+K218</f>
        <v>384.9</v>
      </c>
      <c r="L219" s="1059">
        <f>L217+L218</f>
        <v>385.399</v>
      </c>
      <c r="M219" s="1059">
        <f t="shared" si="70"/>
        <v>50</v>
      </c>
      <c r="N219" s="3568"/>
      <c r="O219" s="2396"/>
      <c r="P219" s="2345"/>
      <c r="Q219" s="2345"/>
      <c r="R219" s="2345"/>
      <c r="S219" s="2342"/>
      <c r="T219" s="2342"/>
      <c r="U219" s="2342"/>
      <c r="V219" s="2345"/>
      <c r="Y219" s="84"/>
      <c r="Z219" s="84"/>
    </row>
    <row r="220" spans="1:84" ht="42" hidden="1" customHeight="1">
      <c r="A220" s="1417"/>
      <c r="B220" s="2189" t="s">
        <v>3453</v>
      </c>
      <c r="C220" s="1547"/>
      <c r="D220" s="2200"/>
      <c r="E220" s="1120"/>
      <c r="F220" s="2010"/>
      <c r="G220" s="2072"/>
      <c r="H220" s="1075"/>
      <c r="I220" s="1067"/>
      <c r="J220" s="1068">
        <v>48.4</v>
      </c>
      <c r="K220" s="989">
        <v>48.4</v>
      </c>
      <c r="L220" s="989">
        <v>48.4</v>
      </c>
      <c r="M220" s="989">
        <v>50</v>
      </c>
      <c r="N220" s="3568"/>
      <c r="O220" s="989" t="s">
        <v>3455</v>
      </c>
      <c r="P220" s="1004"/>
      <c r="Q220" s="1004"/>
      <c r="R220" s="1004"/>
      <c r="S220" s="1004"/>
      <c r="T220" s="1004"/>
      <c r="U220" s="1004"/>
      <c r="V220" s="2345"/>
      <c r="Y220" s="84"/>
      <c r="Z220" s="84"/>
    </row>
    <row r="221" spans="1:84" ht="87" hidden="1" customHeight="1">
      <c r="A221" s="1417"/>
      <c r="B221" s="2189" t="s">
        <v>3454</v>
      </c>
      <c r="C221" s="1547"/>
      <c r="D221" s="2200"/>
      <c r="E221" s="1120"/>
      <c r="F221" s="2010"/>
      <c r="G221" s="2072"/>
      <c r="H221" s="1075"/>
      <c r="I221" s="1067"/>
      <c r="J221" s="1068">
        <v>309</v>
      </c>
      <c r="K221" s="989">
        <v>309</v>
      </c>
      <c r="L221" s="989">
        <v>337</v>
      </c>
      <c r="M221" s="989"/>
      <c r="N221" s="3568"/>
      <c r="O221" s="1009" t="s">
        <v>3456</v>
      </c>
      <c r="P221" s="1004"/>
      <c r="Q221" s="1004"/>
      <c r="R221" s="1004"/>
      <c r="S221" s="1004"/>
      <c r="T221" s="1004"/>
      <c r="U221" s="1004"/>
      <c r="V221" s="2345"/>
      <c r="Y221" s="84"/>
      <c r="Z221" s="84"/>
    </row>
    <row r="222" spans="1:84" ht="62.25" hidden="1" customHeight="1">
      <c r="A222" s="1391"/>
      <c r="B222" s="2189" t="s">
        <v>3452</v>
      </c>
      <c r="C222" s="2201"/>
      <c r="D222" s="2202"/>
      <c r="E222" s="1142"/>
      <c r="F222" s="2190"/>
      <c r="G222" s="2191"/>
      <c r="H222" s="1081"/>
      <c r="I222" s="1067"/>
      <c r="J222" s="1068">
        <v>0</v>
      </c>
      <c r="K222" s="989"/>
      <c r="L222" s="989"/>
      <c r="M222" s="953"/>
      <c r="N222" s="3568"/>
      <c r="O222" s="989"/>
      <c r="P222" s="1004"/>
      <c r="Q222" s="1004"/>
      <c r="R222" s="1004"/>
      <c r="S222" s="1004"/>
      <c r="T222" s="1004"/>
      <c r="U222" s="1004"/>
      <c r="V222" s="2345"/>
      <c r="Y222" s="84"/>
      <c r="Z222" s="84"/>
    </row>
    <row r="223" spans="1:84" ht="27.6" hidden="1" customHeight="1">
      <c r="A223" s="953"/>
      <c r="B223" s="2203" t="s">
        <v>4034</v>
      </c>
      <c r="C223" s="2201"/>
      <c r="D223" s="1024"/>
      <c r="E223" s="1142"/>
      <c r="F223" s="2190"/>
      <c r="G223" s="1142"/>
      <c r="H223" s="1081"/>
      <c r="I223" s="1144"/>
      <c r="J223" s="1398">
        <v>32.343000000000004</v>
      </c>
      <c r="K223" s="1398">
        <v>21.9</v>
      </c>
      <c r="L223" s="989"/>
      <c r="M223" s="989"/>
      <c r="N223" s="3568"/>
      <c r="O223" s="1068" t="s">
        <v>4035</v>
      </c>
      <c r="P223" s="1384"/>
      <c r="Q223" s="1384"/>
      <c r="R223" s="1384"/>
      <c r="S223" s="1384"/>
      <c r="T223" s="1384"/>
      <c r="U223" s="1384"/>
      <c r="V223" s="2345"/>
      <c r="Y223" s="84"/>
      <c r="Z223" s="84"/>
    </row>
    <row r="224" spans="1:84" ht="42" customHeight="1">
      <c r="A224" s="2739" t="s">
        <v>2241</v>
      </c>
      <c r="B224" s="2366" t="s">
        <v>1325</v>
      </c>
      <c r="C224" s="2392">
        <v>188711925</v>
      </c>
      <c r="D224" s="1035" t="s">
        <v>48</v>
      </c>
      <c r="E224" s="1051">
        <v>0</v>
      </c>
      <c r="F224" s="1424" t="e">
        <f t="shared" si="56"/>
        <v>#DIV/0!</v>
      </c>
      <c r="G224" s="1051">
        <v>5</v>
      </c>
      <c r="H224" s="1053">
        <v>5</v>
      </c>
      <c r="I224" s="1604">
        <f t="shared" si="61"/>
        <v>-1</v>
      </c>
      <c r="J224" s="1051"/>
      <c r="K224" s="1053"/>
      <c r="L224" s="1053">
        <v>5</v>
      </c>
      <c r="M224" s="1053"/>
      <c r="N224" s="3568"/>
      <c r="O224" s="2395" t="s">
        <v>1772</v>
      </c>
      <c r="P224" s="2342" t="s">
        <v>1715</v>
      </c>
      <c r="Q224" s="2342" t="s">
        <v>1635</v>
      </c>
      <c r="R224" s="2342" t="s">
        <v>324</v>
      </c>
      <c r="S224" s="2342" t="s">
        <v>434</v>
      </c>
      <c r="T224" s="2342" t="s">
        <v>324</v>
      </c>
      <c r="U224" s="2343" t="s">
        <v>434</v>
      </c>
      <c r="V224" s="2345"/>
      <c r="Y224" s="84"/>
      <c r="Z224" s="84"/>
    </row>
    <row r="225" spans="1:26" ht="42" customHeight="1">
      <c r="A225" s="2739"/>
      <c r="B225" s="2366"/>
      <c r="C225" s="2392"/>
      <c r="D225" s="1056" t="s">
        <v>1076</v>
      </c>
      <c r="E225" s="1057">
        <f>E224</f>
        <v>0</v>
      </c>
      <c r="F225" s="1407" t="e">
        <f t="shared" si="56"/>
        <v>#DIV/0!</v>
      </c>
      <c r="G225" s="1057">
        <f t="shared" ref="G225:L225" si="71">G224</f>
        <v>5</v>
      </c>
      <c r="H225" s="1059">
        <f t="shared" si="71"/>
        <v>5</v>
      </c>
      <c r="I225" s="1060">
        <f t="shared" si="61"/>
        <v>-1</v>
      </c>
      <c r="J225" s="1057"/>
      <c r="K225" s="1059">
        <f t="shared" si="71"/>
        <v>0</v>
      </c>
      <c r="L225" s="1059">
        <f t="shared" si="71"/>
        <v>5</v>
      </c>
      <c r="M225" s="1059"/>
      <c r="N225" s="3568"/>
      <c r="O225" s="2396"/>
      <c r="P225" s="2342"/>
      <c r="Q225" s="2342"/>
      <c r="R225" s="2342"/>
      <c r="S225" s="2342"/>
      <c r="T225" s="2342"/>
      <c r="U225" s="2344"/>
      <c r="V225" s="2345"/>
      <c r="Y225" s="84"/>
      <c r="Z225" s="84"/>
    </row>
    <row r="226" spans="1:26" ht="57" hidden="1" customHeight="1">
      <c r="A226" s="2746" t="s">
        <v>2242</v>
      </c>
      <c r="B226" s="2574" t="s">
        <v>1326</v>
      </c>
      <c r="C226" s="2897">
        <v>188711925</v>
      </c>
      <c r="D226" s="1098" t="s">
        <v>48</v>
      </c>
      <c r="E226" s="1099">
        <v>10</v>
      </c>
      <c r="F226" s="1705">
        <f t="shared" si="56"/>
        <v>-1</v>
      </c>
      <c r="G226" s="2050">
        <v>12</v>
      </c>
      <c r="H226" s="1100">
        <v>0</v>
      </c>
      <c r="I226" s="2204" t="e">
        <f t="shared" si="61"/>
        <v>#DIV/0!</v>
      </c>
      <c r="J226" s="1099"/>
      <c r="K226" s="1100"/>
      <c r="L226" s="1053"/>
      <c r="M226" s="1053"/>
      <c r="N226" s="2998"/>
      <c r="O226" s="2395" t="s">
        <v>1773</v>
      </c>
      <c r="P226" s="2345" t="s">
        <v>1716</v>
      </c>
      <c r="Q226" s="2345" t="s">
        <v>1636</v>
      </c>
      <c r="R226" s="2345" t="s">
        <v>324</v>
      </c>
      <c r="S226" s="2345" t="s">
        <v>324</v>
      </c>
      <c r="T226" s="2345" t="s">
        <v>324</v>
      </c>
      <c r="U226" s="996"/>
      <c r="V226" s="2345"/>
      <c r="Y226" s="84"/>
      <c r="Z226" s="84"/>
    </row>
    <row r="227" spans="1:26" ht="42" hidden="1" customHeight="1">
      <c r="A227" s="2727"/>
      <c r="B227" s="2575"/>
      <c r="C227" s="2881"/>
      <c r="D227" s="1083" t="s">
        <v>1076</v>
      </c>
      <c r="E227" s="1057">
        <f>E226</f>
        <v>10</v>
      </c>
      <c r="F227" s="1407">
        <f t="shared" si="56"/>
        <v>-1</v>
      </c>
      <c r="G227" s="2046">
        <f t="shared" ref="G227:L227" si="72">G226</f>
        <v>12</v>
      </c>
      <c r="H227" s="1059">
        <f t="shared" si="72"/>
        <v>0</v>
      </c>
      <c r="I227" s="1096" t="e">
        <f t="shared" si="61"/>
        <v>#DIV/0!</v>
      </c>
      <c r="J227" s="1057"/>
      <c r="K227" s="1059">
        <f t="shared" si="72"/>
        <v>0</v>
      </c>
      <c r="L227" s="1059">
        <f t="shared" si="72"/>
        <v>0</v>
      </c>
      <c r="M227" s="1059"/>
      <c r="N227" s="2999"/>
      <c r="O227" s="2396"/>
      <c r="P227" s="2344"/>
      <c r="Q227" s="2345"/>
      <c r="R227" s="2345"/>
      <c r="S227" s="2345"/>
      <c r="T227" s="2345"/>
      <c r="U227" s="996"/>
      <c r="V227" s="2345"/>
      <c r="Y227" s="84"/>
      <c r="Z227" s="84"/>
    </row>
    <row r="228" spans="1:26" ht="42" customHeight="1">
      <c r="A228" s="2727" t="s">
        <v>2243</v>
      </c>
      <c r="B228" s="2575" t="s">
        <v>1327</v>
      </c>
      <c r="C228" s="2881">
        <v>188711925</v>
      </c>
      <c r="D228" s="1082" t="s">
        <v>471</v>
      </c>
      <c r="E228" s="1051">
        <v>3</v>
      </c>
      <c r="F228" s="1424">
        <f t="shared" si="56"/>
        <v>-1</v>
      </c>
      <c r="G228" s="1317">
        <v>3</v>
      </c>
      <c r="H228" s="1053"/>
      <c r="I228" s="1604"/>
      <c r="J228" s="1051">
        <v>3</v>
      </c>
      <c r="K228" s="1053">
        <v>3</v>
      </c>
      <c r="L228" s="1053"/>
      <c r="M228" s="1053"/>
      <c r="N228" s="2999"/>
      <c r="O228" s="2395" t="s">
        <v>2869</v>
      </c>
      <c r="P228" s="2343" t="s">
        <v>1717</v>
      </c>
      <c r="Q228" s="2343" t="s">
        <v>693</v>
      </c>
      <c r="R228" s="2343" t="s">
        <v>324</v>
      </c>
      <c r="S228" s="2343" t="s">
        <v>324</v>
      </c>
      <c r="T228" s="2343" t="s">
        <v>434</v>
      </c>
      <c r="U228" s="2345" t="s">
        <v>434</v>
      </c>
      <c r="V228" s="2345"/>
      <c r="Y228" s="84"/>
      <c r="Z228" s="84"/>
    </row>
    <row r="229" spans="1:26" ht="49.5" customHeight="1">
      <c r="A229" s="2727"/>
      <c r="B229" s="2575"/>
      <c r="C229" s="2881"/>
      <c r="D229" s="1083" t="s">
        <v>1076</v>
      </c>
      <c r="E229" s="1057">
        <f>E228</f>
        <v>3</v>
      </c>
      <c r="F229" s="1407">
        <f t="shared" si="56"/>
        <v>-1</v>
      </c>
      <c r="G229" s="2046">
        <f t="shared" ref="G229" si="73">G228</f>
        <v>3</v>
      </c>
      <c r="H229" s="1059"/>
      <c r="I229" s="1060"/>
      <c r="J229" s="1057">
        <f>J228</f>
        <v>3</v>
      </c>
      <c r="K229" s="1059">
        <f t="shared" ref="K229:M229" si="74">K228</f>
        <v>3</v>
      </c>
      <c r="L229" s="1059">
        <f t="shared" si="74"/>
        <v>0</v>
      </c>
      <c r="M229" s="1059">
        <f t="shared" si="74"/>
        <v>0</v>
      </c>
      <c r="N229" s="2999"/>
      <c r="O229" s="2396"/>
      <c r="P229" s="2344"/>
      <c r="Q229" s="2345"/>
      <c r="R229" s="2345"/>
      <c r="S229" s="2345"/>
      <c r="T229" s="2345"/>
      <c r="U229" s="2345"/>
      <c r="V229" s="2345"/>
      <c r="Y229" s="84"/>
      <c r="Z229" s="84"/>
    </row>
    <row r="230" spans="1:26" ht="42" hidden="1" customHeight="1">
      <c r="A230" s="2727" t="s">
        <v>2244</v>
      </c>
      <c r="B230" s="2575" t="s">
        <v>1328</v>
      </c>
      <c r="C230" s="2881">
        <v>188711925</v>
      </c>
      <c r="D230" s="1082" t="s">
        <v>48</v>
      </c>
      <c r="E230" s="1051">
        <v>1</v>
      </c>
      <c r="F230" s="1424">
        <f t="shared" si="56"/>
        <v>-1</v>
      </c>
      <c r="G230" s="1317">
        <v>2</v>
      </c>
      <c r="H230" s="1053"/>
      <c r="I230" s="1604"/>
      <c r="J230" s="1051"/>
      <c r="K230" s="1053"/>
      <c r="L230" s="1053"/>
      <c r="M230" s="1053"/>
      <c r="N230" s="2999"/>
      <c r="O230" s="2395" t="s">
        <v>2868</v>
      </c>
      <c r="P230" s="2343" t="s">
        <v>1718</v>
      </c>
      <c r="Q230" s="2343" t="s">
        <v>1637</v>
      </c>
      <c r="R230" s="2343" t="s">
        <v>324</v>
      </c>
      <c r="S230" s="2343" t="s">
        <v>324</v>
      </c>
      <c r="T230" s="2343" t="s">
        <v>324</v>
      </c>
      <c r="U230" s="996"/>
      <c r="V230" s="2345"/>
      <c r="Y230" s="84"/>
      <c r="Z230" s="84"/>
    </row>
    <row r="231" spans="1:26" ht="42" hidden="1" customHeight="1">
      <c r="A231" s="2901"/>
      <c r="B231" s="2902"/>
      <c r="C231" s="2882"/>
      <c r="D231" s="1083" t="s">
        <v>1076</v>
      </c>
      <c r="E231" s="1057">
        <f>E230</f>
        <v>1</v>
      </c>
      <c r="F231" s="1407">
        <f t="shared" si="56"/>
        <v>-1</v>
      </c>
      <c r="G231" s="2046">
        <f t="shared" ref="G231" si="75">G230</f>
        <v>2</v>
      </c>
      <c r="H231" s="1059"/>
      <c r="I231" s="1060"/>
      <c r="J231" s="1057"/>
      <c r="K231" s="1059"/>
      <c r="L231" s="1059"/>
      <c r="M231" s="1059"/>
      <c r="N231" s="3000"/>
      <c r="O231" s="2396"/>
      <c r="P231" s="2344"/>
      <c r="Q231" s="2345"/>
      <c r="R231" s="2345"/>
      <c r="S231" s="2345"/>
      <c r="T231" s="2345"/>
      <c r="U231" s="996"/>
      <c r="V231" s="2344"/>
      <c r="Y231" s="84"/>
      <c r="Z231" s="84"/>
    </row>
    <row r="232" spans="1:26" s="98" customFormat="1" ht="42" customHeight="1">
      <c r="A232" s="1017" t="s">
        <v>2254</v>
      </c>
      <c r="B232" s="954" t="s">
        <v>1329</v>
      </c>
      <c r="C232" s="1017"/>
      <c r="D232" s="1017"/>
      <c r="E232" s="1094">
        <f>SUM(E234,E240,)</f>
        <v>120</v>
      </c>
      <c r="F232" s="1368">
        <f t="shared" si="56"/>
        <v>1.8255750000000002</v>
      </c>
      <c r="G232" s="2042">
        <f>SUM(G234,G240,)</f>
        <v>339.06900000000002</v>
      </c>
      <c r="H232" s="1095">
        <f>SUM(H234,H240,)</f>
        <v>339.06900000000002</v>
      </c>
      <c r="I232" s="1096">
        <f t="shared" si="61"/>
        <v>-0.3216719900669186</v>
      </c>
      <c r="J232" s="1095">
        <f>SUM(J234,J240,)</f>
        <v>230</v>
      </c>
      <c r="K232" s="1095">
        <f>SUM(K234,K240,)</f>
        <v>230</v>
      </c>
      <c r="L232" s="1095">
        <f>SUM(L234,L240,)</f>
        <v>0</v>
      </c>
      <c r="M232" s="1095">
        <f>SUM(M234,M240,)</f>
        <v>0</v>
      </c>
      <c r="N232" s="1457" t="s">
        <v>999</v>
      </c>
      <c r="O232" s="1017"/>
      <c r="P232" s="1017" t="s">
        <v>1719</v>
      </c>
      <c r="Q232" s="954" t="s">
        <v>3947</v>
      </c>
      <c r="R232" s="1017"/>
      <c r="S232" s="1017"/>
      <c r="T232" s="1017"/>
      <c r="U232" s="1017"/>
      <c r="V232" s="954" t="s">
        <v>1001</v>
      </c>
      <c r="W232" s="293"/>
    </row>
    <row r="233" spans="1:26" ht="35.450000000000003" customHeight="1">
      <c r="A233" s="2810" t="s">
        <v>2245</v>
      </c>
      <c r="B233" s="2366" t="s">
        <v>1330</v>
      </c>
      <c r="C233" s="3574">
        <v>188711925</v>
      </c>
      <c r="D233" s="1082" t="s">
        <v>471</v>
      </c>
      <c r="E233" s="1051">
        <v>20</v>
      </c>
      <c r="F233" s="1424">
        <f>(H233-E233)/E233</f>
        <v>0.25</v>
      </c>
      <c r="G233" s="1317">
        <v>25</v>
      </c>
      <c r="H233" s="1053">
        <v>25</v>
      </c>
      <c r="I233" s="1604">
        <f t="shared" si="61"/>
        <v>1</v>
      </c>
      <c r="J233" s="1051">
        <f>SUM(J235,J236)</f>
        <v>50</v>
      </c>
      <c r="K233" s="1053">
        <f t="shared" ref="K233:M233" si="76">SUM(K235,K236)</f>
        <v>50</v>
      </c>
      <c r="L233" s="1053">
        <f t="shared" si="76"/>
        <v>0</v>
      </c>
      <c r="M233" s="1053">
        <f t="shared" si="76"/>
        <v>0</v>
      </c>
      <c r="N233" s="2998" t="s">
        <v>2397</v>
      </c>
      <c r="O233" s="2395" t="s">
        <v>1776</v>
      </c>
      <c r="P233" s="2342" t="s">
        <v>1720</v>
      </c>
      <c r="Q233" s="2342" t="s">
        <v>1638</v>
      </c>
      <c r="R233" s="2342" t="s">
        <v>1409</v>
      </c>
      <c r="S233" s="2342" t="s">
        <v>1409</v>
      </c>
      <c r="T233" s="2342" t="s">
        <v>1409</v>
      </c>
      <c r="U233" s="2342" t="s">
        <v>1409</v>
      </c>
      <c r="V233" s="2343" t="s">
        <v>2595</v>
      </c>
      <c r="Y233" s="84"/>
      <c r="Z233" s="84"/>
    </row>
    <row r="234" spans="1:26" ht="42" customHeight="1">
      <c r="A234" s="2810"/>
      <c r="B234" s="2366"/>
      <c r="C234" s="3574"/>
      <c r="D234" s="1083" t="s">
        <v>1076</v>
      </c>
      <c r="E234" s="1057">
        <f>E233</f>
        <v>20</v>
      </c>
      <c r="F234" s="1407">
        <f t="shared" si="56"/>
        <v>0.25</v>
      </c>
      <c r="G234" s="2046">
        <f>G233</f>
        <v>25</v>
      </c>
      <c r="H234" s="1059">
        <f t="shared" ref="H234:M234" si="77">H233</f>
        <v>25</v>
      </c>
      <c r="I234" s="1060">
        <f t="shared" si="61"/>
        <v>1</v>
      </c>
      <c r="J234" s="1057">
        <f t="shared" si="77"/>
        <v>50</v>
      </c>
      <c r="K234" s="1059">
        <f t="shared" si="77"/>
        <v>50</v>
      </c>
      <c r="L234" s="1059">
        <f t="shared" si="77"/>
        <v>0</v>
      </c>
      <c r="M234" s="1059">
        <f t="shared" si="77"/>
        <v>0</v>
      </c>
      <c r="N234" s="2999"/>
      <c r="O234" s="2396"/>
      <c r="P234" s="2342"/>
      <c r="Q234" s="2342"/>
      <c r="R234" s="2342"/>
      <c r="S234" s="2342"/>
      <c r="T234" s="2342"/>
      <c r="U234" s="2342"/>
      <c r="V234" s="2345"/>
      <c r="Y234" s="84"/>
      <c r="Z234" s="84"/>
    </row>
    <row r="235" spans="1:26" ht="30" hidden="1" customHeight="1">
      <c r="A235" s="2205"/>
      <c r="B235" s="957" t="s">
        <v>3457</v>
      </c>
      <c r="C235" s="2206"/>
      <c r="D235" s="1446"/>
      <c r="E235" s="1127"/>
      <c r="F235" s="1427"/>
      <c r="G235" s="1882"/>
      <c r="H235" s="1005"/>
      <c r="I235" s="1126"/>
      <c r="J235" s="1068">
        <v>25</v>
      </c>
      <c r="K235" s="989">
        <v>25</v>
      </c>
      <c r="L235" s="1005"/>
      <c r="M235" s="1005"/>
      <c r="N235" s="2999"/>
      <c r="O235" s="2208" t="s">
        <v>3459</v>
      </c>
      <c r="P235" s="1004"/>
      <c r="Q235" s="1004"/>
      <c r="R235" s="1004"/>
      <c r="S235" s="1004"/>
      <c r="T235" s="1004"/>
      <c r="U235" s="1004"/>
      <c r="V235" s="2345"/>
      <c r="Y235" s="84"/>
      <c r="Z235" s="84"/>
    </row>
    <row r="236" spans="1:26" ht="33" hidden="1" customHeight="1">
      <c r="A236" s="2205"/>
      <c r="B236" s="957" t="s">
        <v>3458</v>
      </c>
      <c r="C236" s="2206"/>
      <c r="D236" s="1446"/>
      <c r="E236" s="1127"/>
      <c r="F236" s="1427"/>
      <c r="G236" s="1882"/>
      <c r="H236" s="1005"/>
      <c r="I236" s="1126"/>
      <c r="J236" s="1068">
        <v>25</v>
      </c>
      <c r="K236" s="989">
        <v>25</v>
      </c>
      <c r="L236" s="1005"/>
      <c r="M236" s="1005"/>
      <c r="N236" s="2999"/>
      <c r="O236" s="2209" t="s">
        <v>3460</v>
      </c>
      <c r="P236" s="1004"/>
      <c r="Q236" s="1004"/>
      <c r="R236" s="1004"/>
      <c r="S236" s="1004"/>
      <c r="T236" s="1004"/>
      <c r="U236" s="1004"/>
      <c r="V236" s="2345"/>
      <c r="Y236" s="84"/>
      <c r="Z236" s="84"/>
    </row>
    <row r="237" spans="1:26" ht="34.15" customHeight="1">
      <c r="A237" s="2810" t="s">
        <v>2246</v>
      </c>
      <c r="B237" s="2366" t="s">
        <v>1331</v>
      </c>
      <c r="C237" s="3574">
        <v>188711925</v>
      </c>
      <c r="D237" s="1082" t="s">
        <v>2928</v>
      </c>
      <c r="E237" s="1051">
        <v>100</v>
      </c>
      <c r="F237" s="1424">
        <f t="shared" si="56"/>
        <v>2.1406900000000002</v>
      </c>
      <c r="G237" s="1317">
        <v>314.06900000000002</v>
      </c>
      <c r="H237" s="1053">
        <v>314.06900000000002</v>
      </c>
      <c r="I237" s="1604">
        <f t="shared" si="61"/>
        <v>-0.42687753328090328</v>
      </c>
      <c r="J237" s="1051">
        <v>180</v>
      </c>
      <c r="K237" s="1053">
        <v>0</v>
      </c>
      <c r="L237" s="1053"/>
      <c r="M237" s="1053"/>
      <c r="N237" s="2999"/>
      <c r="O237" s="2395" t="s">
        <v>4038</v>
      </c>
      <c r="P237" s="2342" t="s">
        <v>1721</v>
      </c>
      <c r="Q237" s="2342" t="s">
        <v>4036</v>
      </c>
      <c r="R237" s="2342" t="s">
        <v>1409</v>
      </c>
      <c r="S237" s="2342" t="s">
        <v>4037</v>
      </c>
      <c r="T237" s="2342" t="s">
        <v>434</v>
      </c>
      <c r="U237" s="2856"/>
      <c r="V237" s="2345"/>
      <c r="Y237" s="84"/>
      <c r="Z237" s="84"/>
    </row>
    <row r="238" spans="1:26" ht="34.15" customHeight="1">
      <c r="A238" s="2810"/>
      <c r="B238" s="2366"/>
      <c r="C238" s="3574"/>
      <c r="D238" s="1082" t="s">
        <v>471</v>
      </c>
      <c r="E238" s="1051"/>
      <c r="F238" s="1424"/>
      <c r="G238" s="1317"/>
      <c r="H238" s="1053"/>
      <c r="I238" s="1604"/>
      <c r="J238" s="1051"/>
      <c r="K238" s="1053">
        <v>180</v>
      </c>
      <c r="L238" s="1053"/>
      <c r="M238" s="1053"/>
      <c r="N238" s="2999"/>
      <c r="O238" s="2395"/>
      <c r="P238" s="2342"/>
      <c r="Q238" s="2342"/>
      <c r="R238" s="2342"/>
      <c r="S238" s="2342"/>
      <c r="T238" s="2342"/>
      <c r="U238" s="2856"/>
      <c r="V238" s="2345"/>
      <c r="Y238" s="84"/>
      <c r="Z238" s="84"/>
    </row>
    <row r="239" spans="1:26" ht="30" customHeight="1">
      <c r="A239" s="2810"/>
      <c r="B239" s="2366"/>
      <c r="C239" s="3574"/>
      <c r="D239" s="1082" t="s">
        <v>1394</v>
      </c>
      <c r="E239" s="948"/>
      <c r="F239" s="1424" t="e">
        <f t="shared" si="56"/>
        <v>#DIV/0!</v>
      </c>
      <c r="G239" s="2207"/>
      <c r="H239" s="946"/>
      <c r="I239" s="1604"/>
      <c r="J239" s="948"/>
      <c r="K239" s="1053"/>
      <c r="L239" s="1053"/>
      <c r="M239" s="1053"/>
      <c r="N239" s="2999"/>
      <c r="O239" s="2396"/>
      <c r="P239" s="2342"/>
      <c r="Q239" s="2342"/>
      <c r="R239" s="2342"/>
      <c r="S239" s="2342"/>
      <c r="T239" s="2342"/>
      <c r="U239" s="2856"/>
      <c r="V239" s="2345"/>
      <c r="Y239" s="84"/>
      <c r="Z239" s="84"/>
    </row>
    <row r="240" spans="1:26" ht="37.5" customHeight="1">
      <c r="A240" s="2810"/>
      <c r="B240" s="2366"/>
      <c r="C240" s="3574"/>
      <c r="D240" s="1083" t="s">
        <v>1076</v>
      </c>
      <c r="E240" s="1057">
        <f>E237</f>
        <v>100</v>
      </c>
      <c r="F240" s="1407">
        <f t="shared" si="56"/>
        <v>2.1406900000000002</v>
      </c>
      <c r="G240" s="2046">
        <f>G237</f>
        <v>314.06900000000002</v>
      </c>
      <c r="H240" s="1059">
        <f>H237</f>
        <v>314.06900000000002</v>
      </c>
      <c r="I240" s="1060">
        <f t="shared" si="61"/>
        <v>-0.42687753328090328</v>
      </c>
      <c r="J240" s="1057">
        <f>J237</f>
        <v>180</v>
      </c>
      <c r="K240" s="1059">
        <f>K237+K238+K239</f>
        <v>180</v>
      </c>
      <c r="L240" s="1059">
        <f t="shared" ref="L240:M240" si="78">L237+L238+L239</f>
        <v>0</v>
      </c>
      <c r="M240" s="1059">
        <f t="shared" si="78"/>
        <v>0</v>
      </c>
      <c r="N240" s="3000"/>
      <c r="O240" s="2396"/>
      <c r="P240" s="2342"/>
      <c r="Q240" s="2342"/>
      <c r="R240" s="2342"/>
      <c r="S240" s="2342"/>
      <c r="T240" s="2342"/>
      <c r="U240" s="2856"/>
      <c r="V240" s="2344"/>
      <c r="Y240" s="84"/>
      <c r="Z240" s="84"/>
    </row>
    <row r="241" spans="1:26" ht="42" customHeight="1">
      <c r="A241" s="1017" t="s">
        <v>2253</v>
      </c>
      <c r="B241" s="954" t="s">
        <v>2596</v>
      </c>
      <c r="C241" s="1017"/>
      <c r="D241" s="1017"/>
      <c r="E241" s="1094">
        <f>E243</f>
        <v>40</v>
      </c>
      <c r="F241" s="1368">
        <f t="shared" si="56"/>
        <v>0</v>
      </c>
      <c r="G241" s="2042">
        <f t="shared" ref="G241:M241" si="79">G243</f>
        <v>40</v>
      </c>
      <c r="H241" s="1095">
        <f t="shared" si="79"/>
        <v>40</v>
      </c>
      <c r="I241" s="1096">
        <f t="shared" si="61"/>
        <v>0</v>
      </c>
      <c r="J241" s="1095">
        <f t="shared" si="79"/>
        <v>40</v>
      </c>
      <c r="K241" s="1095">
        <f t="shared" si="79"/>
        <v>40</v>
      </c>
      <c r="L241" s="1095">
        <f t="shared" si="79"/>
        <v>40</v>
      </c>
      <c r="M241" s="1095">
        <f t="shared" si="79"/>
        <v>40</v>
      </c>
      <c r="N241" s="1457" t="s">
        <v>992</v>
      </c>
      <c r="O241" s="1017"/>
      <c r="P241" s="1017" t="s">
        <v>1722</v>
      </c>
      <c r="Q241" s="954" t="s">
        <v>2459</v>
      </c>
      <c r="R241" s="1017">
        <v>21.37</v>
      </c>
      <c r="S241" s="1017">
        <v>21.37</v>
      </c>
      <c r="T241" s="1017">
        <v>21.37</v>
      </c>
      <c r="U241" s="1017">
        <v>21.37</v>
      </c>
      <c r="V241" s="2343" t="s">
        <v>2593</v>
      </c>
      <c r="W241" s="87"/>
      <c r="X241" s="87"/>
      <c r="Y241" s="84"/>
      <c r="Z241" s="84"/>
    </row>
    <row r="242" spans="1:26" ht="42" customHeight="1">
      <c r="A242" s="2746" t="s">
        <v>2247</v>
      </c>
      <c r="B242" s="2574" t="s">
        <v>1332</v>
      </c>
      <c r="C242" s="2897">
        <v>188711925</v>
      </c>
      <c r="D242" s="1098" t="s">
        <v>471</v>
      </c>
      <c r="E242" s="1099">
        <v>40</v>
      </c>
      <c r="F242" s="1424">
        <f t="shared" si="56"/>
        <v>0</v>
      </c>
      <c r="G242" s="2050">
        <v>40</v>
      </c>
      <c r="H242" s="1053">
        <v>40</v>
      </c>
      <c r="I242" s="1604">
        <f t="shared" si="61"/>
        <v>0</v>
      </c>
      <c r="J242" s="1051">
        <v>40</v>
      </c>
      <c r="K242" s="1053">
        <v>40</v>
      </c>
      <c r="L242" s="1053">
        <v>40</v>
      </c>
      <c r="M242" s="1053">
        <v>40</v>
      </c>
      <c r="N242" s="2998" t="s">
        <v>2396</v>
      </c>
      <c r="O242" s="2363" t="s">
        <v>4000</v>
      </c>
      <c r="P242" s="2345" t="s">
        <v>1723</v>
      </c>
      <c r="Q242" s="2345" t="s">
        <v>2460</v>
      </c>
      <c r="R242" s="2345" t="s">
        <v>1409</v>
      </c>
      <c r="S242" s="2345" t="s">
        <v>393</v>
      </c>
      <c r="T242" s="2345" t="s">
        <v>393</v>
      </c>
      <c r="U242" s="2342" t="s">
        <v>393</v>
      </c>
      <c r="V242" s="2345"/>
      <c r="Y242" s="84"/>
      <c r="Z242" s="84"/>
    </row>
    <row r="243" spans="1:26" ht="76.900000000000006" customHeight="1">
      <c r="A243" s="2727"/>
      <c r="B243" s="2575"/>
      <c r="C243" s="2881"/>
      <c r="D243" s="1083" t="s">
        <v>1076</v>
      </c>
      <c r="E243" s="1057">
        <f>E242</f>
        <v>40</v>
      </c>
      <c r="F243" s="1407">
        <f t="shared" si="56"/>
        <v>0</v>
      </c>
      <c r="G243" s="2046">
        <f t="shared" ref="G243:M243" si="80">G242</f>
        <v>40</v>
      </c>
      <c r="H243" s="1059">
        <f t="shared" si="80"/>
        <v>40</v>
      </c>
      <c r="I243" s="1060">
        <f t="shared" ref="I243:I267" si="81">J243/H243-1</f>
        <v>0</v>
      </c>
      <c r="J243" s="1057">
        <f t="shared" si="80"/>
        <v>40</v>
      </c>
      <c r="K243" s="1059">
        <f t="shared" si="80"/>
        <v>40</v>
      </c>
      <c r="L243" s="1059">
        <f t="shared" si="80"/>
        <v>40</v>
      </c>
      <c r="M243" s="1059">
        <f t="shared" si="80"/>
        <v>40</v>
      </c>
      <c r="N243" s="3000"/>
      <c r="O243" s="2401"/>
      <c r="P243" s="2345"/>
      <c r="Q243" s="2345"/>
      <c r="R243" s="2345"/>
      <c r="S243" s="2345"/>
      <c r="T243" s="2345"/>
      <c r="U243" s="2342"/>
      <c r="V243" s="2344"/>
      <c r="Y243" s="84"/>
      <c r="Z243" s="84"/>
    </row>
    <row r="244" spans="1:26" s="98" customFormat="1" ht="67.900000000000006" customHeight="1">
      <c r="A244" s="1017" t="s">
        <v>2251</v>
      </c>
      <c r="B244" s="954" t="s">
        <v>2252</v>
      </c>
      <c r="C244" s="1017"/>
      <c r="D244" s="1017"/>
      <c r="E244" s="1094">
        <f>E246</f>
        <v>232.92</v>
      </c>
      <c r="F244" s="1368">
        <f t="shared" si="56"/>
        <v>-0.74240082431736221</v>
      </c>
      <c r="G244" s="2042">
        <f t="shared" ref="G244:M244" si="82">G246</f>
        <v>60</v>
      </c>
      <c r="H244" s="1095">
        <f t="shared" si="82"/>
        <v>60</v>
      </c>
      <c r="I244" s="1096">
        <f t="shared" si="81"/>
        <v>-0.7</v>
      </c>
      <c r="J244" s="1094">
        <f t="shared" si="82"/>
        <v>18</v>
      </c>
      <c r="K244" s="1095">
        <f t="shared" si="82"/>
        <v>18</v>
      </c>
      <c r="L244" s="1095">
        <f t="shared" si="82"/>
        <v>0</v>
      </c>
      <c r="M244" s="1095">
        <f t="shared" si="82"/>
        <v>0</v>
      </c>
      <c r="N244" s="1457" t="s">
        <v>999</v>
      </c>
      <c r="O244" s="1017"/>
      <c r="P244" s="1017" t="s">
        <v>1724</v>
      </c>
      <c r="Q244" s="1017" t="s">
        <v>1001</v>
      </c>
      <c r="R244" s="1017">
        <v>0.41</v>
      </c>
      <c r="S244" s="1017">
        <v>0</v>
      </c>
      <c r="T244" s="1017">
        <v>0</v>
      </c>
      <c r="U244" s="1017"/>
      <c r="V244" s="954" t="s">
        <v>1001</v>
      </c>
    </row>
    <row r="245" spans="1:26" ht="42" customHeight="1">
      <c r="A245" s="2746" t="s">
        <v>2248</v>
      </c>
      <c r="B245" s="2574" t="s">
        <v>1333</v>
      </c>
      <c r="C245" s="2897">
        <v>188711925</v>
      </c>
      <c r="D245" s="1098" t="s">
        <v>471</v>
      </c>
      <c r="E245" s="1099">
        <v>232.92</v>
      </c>
      <c r="F245" s="1424">
        <f t="shared" ref="F245:F265" si="83">(H245-E245)/E245</f>
        <v>-0.74240082431736221</v>
      </c>
      <c r="G245" s="2050">
        <v>60</v>
      </c>
      <c r="H245" s="1053">
        <v>60</v>
      </c>
      <c r="I245" s="1604">
        <f t="shared" si="81"/>
        <v>-0.7</v>
      </c>
      <c r="J245" s="1051">
        <v>18</v>
      </c>
      <c r="K245" s="1053">
        <v>18</v>
      </c>
      <c r="L245" s="1053">
        <v>0</v>
      </c>
      <c r="M245" s="1053"/>
      <c r="N245" s="2998" t="s">
        <v>2395</v>
      </c>
      <c r="O245" s="2363" t="s">
        <v>4164</v>
      </c>
      <c r="P245" s="2345" t="s">
        <v>1725</v>
      </c>
      <c r="Q245" s="2345" t="s">
        <v>1639</v>
      </c>
      <c r="R245" s="2345" t="s">
        <v>1409</v>
      </c>
      <c r="S245" s="2345" t="s">
        <v>324</v>
      </c>
      <c r="T245" s="2345" t="s">
        <v>434</v>
      </c>
      <c r="U245" s="2343" t="s">
        <v>434</v>
      </c>
      <c r="V245" s="2345" t="s">
        <v>2592</v>
      </c>
      <c r="Y245" s="84"/>
      <c r="Z245" s="84"/>
    </row>
    <row r="246" spans="1:26" ht="44.25" customHeight="1">
      <c r="A246" s="2727"/>
      <c r="B246" s="2575"/>
      <c r="C246" s="2881"/>
      <c r="D246" s="1083" t="s">
        <v>1076</v>
      </c>
      <c r="E246" s="1057">
        <f>E245</f>
        <v>232.92</v>
      </c>
      <c r="F246" s="1407">
        <f t="shared" si="83"/>
        <v>-0.74240082431736221</v>
      </c>
      <c r="G246" s="2046">
        <f t="shared" ref="G246:M246" si="84">G245</f>
        <v>60</v>
      </c>
      <c r="H246" s="1059">
        <f t="shared" si="84"/>
        <v>60</v>
      </c>
      <c r="I246" s="1060">
        <f t="shared" si="81"/>
        <v>-0.7</v>
      </c>
      <c r="J246" s="1057">
        <f t="shared" si="84"/>
        <v>18</v>
      </c>
      <c r="K246" s="1059">
        <f t="shared" si="84"/>
        <v>18</v>
      </c>
      <c r="L246" s="1059">
        <f t="shared" si="84"/>
        <v>0</v>
      </c>
      <c r="M246" s="1059">
        <f t="shared" si="84"/>
        <v>0</v>
      </c>
      <c r="N246" s="3000"/>
      <c r="O246" s="2401"/>
      <c r="P246" s="2345"/>
      <c r="Q246" s="2345"/>
      <c r="R246" s="2345"/>
      <c r="S246" s="2345"/>
      <c r="T246" s="2345"/>
      <c r="U246" s="2344"/>
      <c r="V246" s="2344"/>
      <c r="Y246" s="84"/>
      <c r="Z246" s="84"/>
    </row>
    <row r="247" spans="1:26" s="98" customFormat="1" ht="57.75" customHeight="1">
      <c r="A247" s="1017" t="s">
        <v>2250</v>
      </c>
      <c r="B247" s="954" t="s">
        <v>2591</v>
      </c>
      <c r="C247" s="1017"/>
      <c r="D247" s="1017"/>
      <c r="E247" s="1094">
        <f>E250</f>
        <v>50</v>
      </c>
      <c r="F247" s="1368">
        <f t="shared" si="83"/>
        <v>2</v>
      </c>
      <c r="G247" s="2042">
        <f t="shared" ref="G247:M247" si="85">G250</f>
        <v>150</v>
      </c>
      <c r="H247" s="1095">
        <f t="shared" si="85"/>
        <v>150</v>
      </c>
      <c r="I247" s="1096">
        <f t="shared" si="81"/>
        <v>3.8266666666666671</v>
      </c>
      <c r="J247" s="1094">
        <f t="shared" si="85"/>
        <v>724</v>
      </c>
      <c r="K247" s="1095">
        <f t="shared" si="85"/>
        <v>404.79999999999995</v>
      </c>
      <c r="L247" s="1095">
        <f t="shared" si="85"/>
        <v>400</v>
      </c>
      <c r="M247" s="1095">
        <f t="shared" si="85"/>
        <v>500</v>
      </c>
      <c r="N247" s="1457" t="s">
        <v>999</v>
      </c>
      <c r="O247" s="1017"/>
      <c r="P247" s="1017" t="s">
        <v>1726</v>
      </c>
      <c r="Q247" s="1017" t="s">
        <v>1001</v>
      </c>
      <c r="R247" s="1017">
        <v>0</v>
      </c>
      <c r="S247" s="1017">
        <v>0</v>
      </c>
      <c r="T247" s="1017">
        <v>0</v>
      </c>
      <c r="U247" s="1017">
        <v>6.14</v>
      </c>
      <c r="V247" s="954" t="s">
        <v>1001</v>
      </c>
      <c r="W247" s="83"/>
    </row>
    <row r="248" spans="1:26" ht="53.25" customHeight="1">
      <c r="A248" s="2746" t="s">
        <v>2249</v>
      </c>
      <c r="B248" s="2574" t="s">
        <v>2663</v>
      </c>
      <c r="C248" s="2897">
        <v>188711925</v>
      </c>
      <c r="D248" s="1098" t="s">
        <v>2928</v>
      </c>
      <c r="E248" s="1099">
        <v>50</v>
      </c>
      <c r="F248" s="1407">
        <f t="shared" si="83"/>
        <v>2</v>
      </c>
      <c r="G248" s="2050">
        <v>150</v>
      </c>
      <c r="H248" s="1053">
        <v>150</v>
      </c>
      <c r="I248" s="1604">
        <f t="shared" si="81"/>
        <v>3.8266666666666671</v>
      </c>
      <c r="J248" s="1051">
        <v>724</v>
      </c>
      <c r="K248" s="1053">
        <v>167.17</v>
      </c>
      <c r="L248" s="1053"/>
      <c r="M248" s="1053"/>
      <c r="N248" s="3568" t="s">
        <v>2394</v>
      </c>
      <c r="O248" s="2363" t="s">
        <v>4060</v>
      </c>
      <c r="P248" s="2345" t="s">
        <v>1727</v>
      </c>
      <c r="Q248" s="2345" t="s">
        <v>1640</v>
      </c>
      <c r="R248" s="2345" t="s">
        <v>324</v>
      </c>
      <c r="S248" s="2345" t="s">
        <v>1409</v>
      </c>
      <c r="T248" s="2345" t="s">
        <v>434</v>
      </c>
      <c r="U248" s="2343" t="s">
        <v>434</v>
      </c>
      <c r="V248" s="2345" t="s">
        <v>2594</v>
      </c>
      <c r="Y248" s="84"/>
      <c r="Z248" s="84"/>
    </row>
    <row r="249" spans="1:26" ht="47.45" customHeight="1">
      <c r="A249" s="2746"/>
      <c r="B249" s="2574"/>
      <c r="C249" s="2897"/>
      <c r="D249" s="1098" t="s">
        <v>471</v>
      </c>
      <c r="E249" s="1099"/>
      <c r="F249" s="1407"/>
      <c r="G249" s="2050"/>
      <c r="H249" s="1053"/>
      <c r="I249" s="1604"/>
      <c r="J249" s="1051">
        <v>724</v>
      </c>
      <c r="K249" s="1053">
        <v>237.63</v>
      </c>
      <c r="L249" s="1053">
        <v>400</v>
      </c>
      <c r="M249" s="1053">
        <v>500</v>
      </c>
      <c r="N249" s="3568"/>
      <c r="O249" s="2363"/>
      <c r="P249" s="2345"/>
      <c r="Q249" s="2345"/>
      <c r="R249" s="2345"/>
      <c r="S249" s="2345"/>
      <c r="T249" s="2345"/>
      <c r="U249" s="2345"/>
      <c r="V249" s="2345"/>
      <c r="Y249" s="84"/>
      <c r="Z249" s="84"/>
    </row>
    <row r="250" spans="1:26" ht="169.5" customHeight="1">
      <c r="A250" s="2727"/>
      <c r="B250" s="2575"/>
      <c r="C250" s="2881"/>
      <c r="D250" s="1083" t="s">
        <v>1076</v>
      </c>
      <c r="E250" s="1057">
        <f>E248</f>
        <v>50</v>
      </c>
      <c r="F250" s="1407">
        <f t="shared" si="83"/>
        <v>2</v>
      </c>
      <c r="G250" s="2046">
        <f t="shared" ref="G250:J250" si="86">G248</f>
        <v>150</v>
      </c>
      <c r="H250" s="1059">
        <f t="shared" si="86"/>
        <v>150</v>
      </c>
      <c r="I250" s="1060">
        <f t="shared" si="81"/>
        <v>3.8266666666666671</v>
      </c>
      <c r="J250" s="1057">
        <f t="shared" si="86"/>
        <v>724</v>
      </c>
      <c r="K250" s="1059">
        <f>SUM(K248,K249)</f>
        <v>404.79999999999995</v>
      </c>
      <c r="L250" s="1059">
        <f t="shared" ref="L250:M250" si="87">SUM(L248,L249)</f>
        <v>400</v>
      </c>
      <c r="M250" s="1059">
        <f t="shared" si="87"/>
        <v>500</v>
      </c>
      <c r="N250" s="3568"/>
      <c r="O250" s="2401"/>
      <c r="P250" s="2345"/>
      <c r="Q250" s="2345"/>
      <c r="R250" s="2345"/>
      <c r="S250" s="2345"/>
      <c r="T250" s="2345"/>
      <c r="U250" s="2344"/>
      <c r="V250" s="2344"/>
      <c r="Y250" s="84"/>
      <c r="Z250" s="84"/>
    </row>
    <row r="251" spans="1:26" s="98" customFormat="1" ht="57.75" customHeight="1">
      <c r="A251" s="1017" t="s">
        <v>3511</v>
      </c>
      <c r="B251" s="954" t="s">
        <v>3512</v>
      </c>
      <c r="C251" s="1017"/>
      <c r="D251" s="1017"/>
      <c r="E251" s="1095"/>
      <c r="F251" s="1096"/>
      <c r="G251" s="1927"/>
      <c r="H251" s="1095"/>
      <c r="I251" s="1096"/>
      <c r="J251" s="1094">
        <f>SUM(J252,J253,J254)</f>
        <v>200</v>
      </c>
      <c r="K251" s="1095">
        <f t="shared" ref="K251:M251" si="88">SUM(K252,K253,K254)</f>
        <v>200</v>
      </c>
      <c r="L251" s="1095">
        <f t="shared" si="88"/>
        <v>0</v>
      </c>
      <c r="M251" s="1095">
        <f t="shared" si="88"/>
        <v>0</v>
      </c>
      <c r="N251" s="1457"/>
      <c r="O251" s="1017"/>
      <c r="P251" s="1017" t="s">
        <v>3951</v>
      </c>
      <c r="Q251" s="954" t="s">
        <v>3948</v>
      </c>
      <c r="R251" s="1017"/>
      <c r="S251" s="1017" t="s">
        <v>3949</v>
      </c>
      <c r="T251" s="1017" t="s">
        <v>586</v>
      </c>
      <c r="U251" s="1017" t="s">
        <v>586</v>
      </c>
      <c r="V251" s="954"/>
      <c r="W251" s="83"/>
    </row>
    <row r="252" spans="1:26" ht="45" customHeight="1">
      <c r="A252" s="3572" t="s">
        <v>3969</v>
      </c>
      <c r="B252" s="3573" t="s">
        <v>3513</v>
      </c>
      <c r="C252" s="2897">
        <v>188711925</v>
      </c>
      <c r="D252" s="1098" t="s">
        <v>1122</v>
      </c>
      <c r="E252" s="1100"/>
      <c r="F252" s="1060"/>
      <c r="G252" s="1117"/>
      <c r="H252" s="1053"/>
      <c r="I252" s="1604"/>
      <c r="J252" s="1051"/>
      <c r="K252" s="1053">
        <v>200</v>
      </c>
      <c r="L252" s="1053"/>
      <c r="M252" s="1053"/>
      <c r="N252" s="2850" t="s">
        <v>3515</v>
      </c>
      <c r="O252" s="2395" t="s">
        <v>3950</v>
      </c>
      <c r="P252" s="2342" t="s">
        <v>3952</v>
      </c>
      <c r="Q252" s="2342" t="s">
        <v>4250</v>
      </c>
      <c r="R252" s="2342"/>
      <c r="S252" s="2342" t="s">
        <v>1338</v>
      </c>
      <c r="T252" s="2342" t="s">
        <v>1338</v>
      </c>
      <c r="U252" s="2342" t="s">
        <v>1338</v>
      </c>
      <c r="V252" s="2342" t="s">
        <v>1737</v>
      </c>
      <c r="Y252" s="84"/>
      <c r="Z252" s="84"/>
    </row>
    <row r="253" spans="1:26" ht="40.5" customHeight="1">
      <c r="A253" s="3034"/>
      <c r="B253" s="3573"/>
      <c r="C253" s="2897"/>
      <c r="D253" s="1098" t="s">
        <v>471</v>
      </c>
      <c r="E253" s="1100"/>
      <c r="F253" s="1060"/>
      <c r="G253" s="1117"/>
      <c r="H253" s="1053"/>
      <c r="I253" s="1604"/>
      <c r="J253" s="1051">
        <v>200</v>
      </c>
      <c r="K253" s="1053"/>
      <c r="L253" s="1053"/>
      <c r="M253" s="1053"/>
      <c r="N253" s="2850"/>
      <c r="O253" s="2395"/>
      <c r="P253" s="2342"/>
      <c r="Q253" s="2342"/>
      <c r="R253" s="2342"/>
      <c r="S253" s="2342"/>
      <c r="T253" s="2342"/>
      <c r="U253" s="2342"/>
      <c r="V253" s="2342"/>
      <c r="Y253" s="84"/>
      <c r="Z253" s="84"/>
    </row>
    <row r="254" spans="1:26" ht="40.5" customHeight="1">
      <c r="A254" s="3034"/>
      <c r="B254" s="3573"/>
      <c r="C254" s="2897"/>
      <c r="D254" s="1098" t="s">
        <v>3514</v>
      </c>
      <c r="E254" s="1100"/>
      <c r="F254" s="1060"/>
      <c r="G254" s="1117"/>
      <c r="H254" s="1053"/>
      <c r="I254" s="1604"/>
      <c r="J254" s="1051"/>
      <c r="K254" s="1053"/>
      <c r="L254" s="1053"/>
      <c r="M254" s="1053"/>
      <c r="N254" s="2850"/>
      <c r="O254" s="2395"/>
      <c r="P254" s="2342"/>
      <c r="Q254" s="2342"/>
      <c r="R254" s="2342"/>
      <c r="S254" s="2342"/>
      <c r="T254" s="2342"/>
      <c r="U254" s="2342"/>
      <c r="V254" s="2342"/>
      <c r="Y254" s="84"/>
      <c r="Z254" s="84"/>
    </row>
    <row r="255" spans="1:26" ht="33.75" customHeight="1">
      <c r="A255" s="3035"/>
      <c r="B255" s="2899"/>
      <c r="C255" s="2881"/>
      <c r="D255" s="1083"/>
      <c r="E255" s="1059"/>
      <c r="F255" s="1060"/>
      <c r="G255" s="1091"/>
      <c r="H255" s="1059"/>
      <c r="I255" s="1060"/>
      <c r="J255" s="1057">
        <f>SUM(J252,J253,J254,)</f>
        <v>200</v>
      </c>
      <c r="K255" s="1059">
        <f t="shared" ref="K255:M255" si="89">SUM(K252,K253,K254,)</f>
        <v>200</v>
      </c>
      <c r="L255" s="1059">
        <f t="shared" si="89"/>
        <v>0</v>
      </c>
      <c r="M255" s="1059">
        <f t="shared" si="89"/>
        <v>0</v>
      </c>
      <c r="N255" s="2850"/>
      <c r="O255" s="2396"/>
      <c r="P255" s="2342"/>
      <c r="Q255" s="2342"/>
      <c r="R255" s="2342"/>
      <c r="S255" s="2342"/>
      <c r="T255" s="2342"/>
      <c r="U255" s="2342"/>
      <c r="V255" s="2342"/>
      <c r="Y255" s="84"/>
      <c r="Z255" s="84"/>
    </row>
    <row r="256" spans="1:26" ht="65.45" customHeight="1">
      <c r="A256" s="2829"/>
      <c r="B256" s="2829"/>
      <c r="C256" s="2829"/>
      <c r="D256" s="2829"/>
      <c r="E256" s="257" t="s">
        <v>1091</v>
      </c>
      <c r="F256" s="281"/>
      <c r="G256" s="576" t="str">
        <f>G22</f>
        <v>2024  m. išlaidų projektas (lėšų poreikis), tūkst. Eur</v>
      </c>
      <c r="H256" s="186" t="str">
        <f>H22</f>
        <v>2024  m.asignavimų  planas, tūkst. Eur</v>
      </c>
      <c r="I256" s="602" t="s">
        <v>3099</v>
      </c>
      <c r="J256" s="559" t="s">
        <v>3100</v>
      </c>
      <c r="K256" s="186" t="str">
        <f>K22</f>
        <v>2025 m. išlaidų projektas, tūkst. Eur</v>
      </c>
      <c r="L256" s="186" t="str">
        <f>L22</f>
        <v>2026 m. išlaidų projektas, tūkst. Eur</v>
      </c>
      <c r="M256" s="186" t="s">
        <v>3097</v>
      </c>
      <c r="N256" s="1248"/>
      <c r="O256" s="1248"/>
      <c r="P256" s="89"/>
      <c r="Q256" s="89"/>
      <c r="R256" s="208"/>
      <c r="S256" s="208"/>
      <c r="T256" s="208"/>
      <c r="U256" s="208"/>
      <c r="V256" s="89"/>
      <c r="Y256" s="84"/>
      <c r="Z256" s="84"/>
    </row>
    <row r="257" spans="1:26" ht="31.15" customHeight="1">
      <c r="A257" s="3615"/>
      <c r="B257" s="2847" t="s">
        <v>722</v>
      </c>
      <c r="C257" s="2847"/>
      <c r="D257" s="2847"/>
      <c r="E257" s="258">
        <f>SUM(E258,E259,E260,E261,E262,E263,)</f>
        <v>13777.986999999999</v>
      </c>
      <c r="F257" s="261">
        <f t="shared" si="83"/>
        <v>-0.59470276753781226</v>
      </c>
      <c r="G257" s="621">
        <f t="shared" ref="G257" si="90">SUM(G258,G259,G260,G261,G262,G263,)</f>
        <v>3532.2670000000003</v>
      </c>
      <c r="H257" s="168">
        <f>SUM(H258,H259,H260,H261,H262,H263,)</f>
        <v>5584.18</v>
      </c>
      <c r="I257" s="603">
        <f t="shared" si="81"/>
        <v>0.30373143415864101</v>
      </c>
      <c r="J257" s="260">
        <f t="shared" ref="J257:M257" si="91">SUM(J258,J259,J260,J261,J262,J263,)</f>
        <v>7280.2710000000006</v>
      </c>
      <c r="K257" s="168">
        <f>SUM(K258,K259,K260,K261,K262,K263,)</f>
        <v>8928.0960000000014</v>
      </c>
      <c r="L257" s="168">
        <f>SUM(L258,L259,L260,L261,L262,L263,)</f>
        <v>8676.18</v>
      </c>
      <c r="M257" s="168">
        <f t="shared" si="91"/>
        <v>8641.4529999999995</v>
      </c>
      <c r="N257" s="199"/>
      <c r="O257" s="175"/>
      <c r="P257" s="175"/>
      <c r="Q257" s="175"/>
      <c r="R257" s="199"/>
      <c r="S257" s="199"/>
      <c r="T257" s="199"/>
      <c r="U257" s="199"/>
      <c r="V257" s="175"/>
      <c r="Y257" s="84"/>
      <c r="Z257" s="84"/>
    </row>
    <row r="258" spans="1:26" ht="43.15" customHeight="1">
      <c r="A258" s="3616"/>
      <c r="B258" s="2846" t="s">
        <v>2027</v>
      </c>
      <c r="C258" s="2846"/>
      <c r="D258" s="2846"/>
      <c r="E258" s="256">
        <f>SUM(E25,E34,E37,E43,E46,E64,E68,E77,E79,E81,E87,E89,E92,E107,E109,E120,E130,E147,E155,E167,E191,E197,E200,E207,E209,E211,E215,E217,E224,E226,E228,E230,E233,E237,E242,E245,E248,)</f>
        <v>7261.6260000000002</v>
      </c>
      <c r="F258" s="261">
        <f t="shared" si="83"/>
        <v>-0.78802681382929929</v>
      </c>
      <c r="G258" s="505">
        <f>SUM(G25,G34,G37,G43,G46,G64,G68,G77,G79,G81,G87,G89,G92,G107,G109,G120,G130,G147,G155,G167,G191,G197,G200,G207,G209,G211,G215,G217,G224,G226,G228,G230,G233,G237,G242,G245,G248,)</f>
        <v>3532.2670000000003</v>
      </c>
      <c r="H258" s="172">
        <f>SUM(H25,H34,H37,H43,H64,H68,H77,H79,H87,H89,H92,H130,H147,H167,H191,H197,H200,H207,H209,H211,H215,H217,H224,H226,H228,H230,H233,H242,H245,H95)</f>
        <v>1539.27</v>
      </c>
      <c r="I258" s="603">
        <f t="shared" si="81"/>
        <v>1.6194046528549251</v>
      </c>
      <c r="J258" s="256">
        <f>SUM(J25,J34,J37,J43,J64,J68,J77,J79,J87,J89,J92,J130,J147,J167,J191,J197,J200,J207,J209,J211,J215,J217,J226,J228,J230,J233,J242,J245,J95,J47,J53,J59,J135,J253,J238,J110,J249)</f>
        <v>4031.9710000000005</v>
      </c>
      <c r="K258" s="172">
        <f>SUM(K25,K34,K37,K43,K64,K68,K77,K79,K87,K89,K92,K130,K147,K167,K191,K197,K200,K207,K209,K211,K215,K217,K226,K228,K230,K233,K242,K245,K95,K47,K53,K59,K135,K253,K238,K110,K249,K237)</f>
        <v>2773.64</v>
      </c>
      <c r="L258" s="172">
        <f>SUM(L25,L34,L37,L43,L64,L68,L77,L79,L87,L89,L92,L130,L147,L167,L191,L197,L200,L207,L209,L211,L215,L217,L226,L228,L230,L233,L242,L245,L95,L47,L53,L59,L135,L253,L238,L110,L249,L237,L224)</f>
        <v>3504.96</v>
      </c>
      <c r="M258" s="172">
        <f>SUM(M25,M34,M37,M43,M64,M68,M77,M79,M87,M89,M92,M130,M147,M167,M191,M197,M200,M207,M209,M211,M215,M217,M226,M228,M230,M233,M242,M245,M95,M47,M53,M59,M135,M253,M238,M110,M249,M237,M224)</f>
        <v>4839.66</v>
      </c>
      <c r="N258" s="198"/>
      <c r="O258" s="216"/>
      <c r="P258" s="175"/>
      <c r="Q258" s="175"/>
      <c r="R258" s="199"/>
      <c r="S258" s="199"/>
      <c r="T258" s="199"/>
      <c r="U258" s="199"/>
      <c r="V258" s="175"/>
      <c r="Y258" s="84"/>
      <c r="Z258" s="84"/>
    </row>
    <row r="259" spans="1:26" ht="30.6" customHeight="1">
      <c r="A259" s="3616"/>
      <c r="B259" s="2846" t="s">
        <v>724</v>
      </c>
      <c r="C259" s="2846"/>
      <c r="D259" s="2846"/>
      <c r="E259" s="256">
        <f>SUM(E49,E66,E69,E83,E157,)</f>
        <v>1229.1479999999999</v>
      </c>
      <c r="F259" s="261">
        <f t="shared" si="83"/>
        <v>-8.7416649581661343E-2</v>
      </c>
      <c r="G259" s="505">
        <f>SUM(G49,G66,G69,G83,G157,)</f>
        <v>0</v>
      </c>
      <c r="H259" s="172">
        <f>SUM(H49,H66,H69,H83,H157,)</f>
        <v>1121.7</v>
      </c>
      <c r="I259" s="603">
        <f t="shared" si="81"/>
        <v>-1</v>
      </c>
      <c r="J259" s="256">
        <f>SUM(J252,J69,J61,J55,J49,)</f>
        <v>0</v>
      </c>
      <c r="K259" s="172">
        <f>SUM(K38,K69,K252,)</f>
        <v>1389.7</v>
      </c>
      <c r="L259" s="172">
        <f t="shared" ref="L259:M259" si="92">SUM(L38,L69,L252,)</f>
        <v>1121.7</v>
      </c>
      <c r="M259" s="172">
        <f t="shared" si="92"/>
        <v>1121.7</v>
      </c>
      <c r="N259" s="255"/>
      <c r="O259" s="175"/>
      <c r="P259" s="175"/>
      <c r="Q259" s="175"/>
      <c r="R259" s="199"/>
      <c r="S259" s="199"/>
      <c r="T259" s="199"/>
      <c r="U259" s="199"/>
      <c r="V259" s="175"/>
      <c r="Y259" s="84"/>
      <c r="Z259" s="84"/>
    </row>
    <row r="260" spans="1:26" ht="25.5" customHeight="1">
      <c r="A260" s="3616"/>
      <c r="B260" s="2846" t="s">
        <v>725</v>
      </c>
      <c r="C260" s="2846"/>
      <c r="D260" s="2846"/>
      <c r="E260" s="256">
        <f>SUM(E148)</f>
        <v>4</v>
      </c>
      <c r="F260" s="261">
        <f t="shared" si="83"/>
        <v>2.625</v>
      </c>
      <c r="G260" s="505">
        <f>SUM(G148)</f>
        <v>0</v>
      </c>
      <c r="H260" s="172">
        <f>SUM(H148,H169)</f>
        <v>14.5</v>
      </c>
      <c r="I260" s="603">
        <f t="shared" si="81"/>
        <v>-1</v>
      </c>
      <c r="J260" s="256">
        <f>SUM(J148,J169)</f>
        <v>0</v>
      </c>
      <c r="K260" s="172">
        <f>SUM(K148,K169)</f>
        <v>3.3</v>
      </c>
      <c r="L260" s="172">
        <f>SUM(L148,L169)</f>
        <v>0</v>
      </c>
      <c r="M260" s="172">
        <f>SUM(M148,M169)</f>
        <v>0</v>
      </c>
      <c r="N260" s="198"/>
      <c r="O260" s="175"/>
      <c r="P260" s="175"/>
      <c r="Q260" s="175"/>
      <c r="R260" s="199"/>
      <c r="S260" s="199"/>
      <c r="T260" s="199"/>
      <c r="U260" s="199"/>
      <c r="V260" s="175"/>
      <c r="Y260" s="84"/>
      <c r="Z260" s="84"/>
    </row>
    <row r="261" spans="1:26" ht="33" customHeight="1">
      <c r="A261" s="3616"/>
      <c r="B261" s="2848" t="s">
        <v>2861</v>
      </c>
      <c r="C261" s="2848"/>
      <c r="D261" s="2848"/>
      <c r="E261" s="256">
        <f>SUM(E48,E65,E82,E93,E123,E158,E162,E212,)</f>
        <v>3313.223</v>
      </c>
      <c r="F261" s="261">
        <f t="shared" si="83"/>
        <v>-0.99230115208061764</v>
      </c>
      <c r="G261" s="505">
        <f>SUM(G48,G65,G82,G93,G123,G158,G162,G212,)</f>
        <v>0</v>
      </c>
      <c r="H261" s="172">
        <f>H123+H48</f>
        <v>25.507999999999999</v>
      </c>
      <c r="I261" s="603">
        <f t="shared" si="81"/>
        <v>90.904500548847437</v>
      </c>
      <c r="J261" s="256">
        <f>SUM(J48,J54,J60,J96,)</f>
        <v>2344.3000000000002</v>
      </c>
      <c r="K261" s="172">
        <f>SUM(K48,K54,K60,K96,)</f>
        <v>2285.328</v>
      </c>
      <c r="L261" s="172">
        <f>SUM(L48,L54,L60,L96,)</f>
        <v>2743.9560000000001</v>
      </c>
      <c r="M261" s="172">
        <f t="shared" ref="M261" si="93">SUM(M48,M54,M60,M96,)</f>
        <v>2293.9850000000001</v>
      </c>
      <c r="N261" s="198"/>
      <c r="O261" s="175"/>
      <c r="P261" s="175"/>
      <c r="Q261" s="175"/>
      <c r="R261" s="199"/>
      <c r="S261" s="199"/>
      <c r="T261" s="199"/>
      <c r="U261" s="199"/>
      <c r="V261" s="175"/>
      <c r="Y261" s="84"/>
      <c r="Z261" s="84"/>
    </row>
    <row r="262" spans="1:26" ht="29.25" customHeight="1">
      <c r="A262" s="3616"/>
      <c r="B262" s="2846" t="s">
        <v>726</v>
      </c>
      <c r="C262" s="2846"/>
      <c r="D262" s="2846"/>
      <c r="E262" s="256">
        <f>SUM(E84,E112,E122,E159,E213,E239,)</f>
        <v>1969.9899999999998</v>
      </c>
      <c r="F262" s="261">
        <f t="shared" si="83"/>
        <v>-0.88575728810806142</v>
      </c>
      <c r="G262" s="505">
        <f>SUM(G84,G112,G122,G159,G213,G239,)</f>
        <v>0</v>
      </c>
      <c r="H262" s="172">
        <f>SUM(H84,H112,H122,H159,H213,H239,)</f>
        <v>225.05700000000002</v>
      </c>
      <c r="I262" s="603">
        <f t="shared" si="81"/>
        <v>-1</v>
      </c>
      <c r="J262" s="256">
        <f>SUM(J84,J112,J122,J159,J213,J239,)</f>
        <v>0</v>
      </c>
      <c r="K262" s="172">
        <f>SUM(K50,K56,K62,)</f>
        <v>0</v>
      </c>
      <c r="L262" s="172">
        <f>SUM(L50,L56,L62,)</f>
        <v>387.04399999999998</v>
      </c>
      <c r="M262" s="172">
        <f t="shared" ref="M262" si="94">SUM(M50,M56,M62,)</f>
        <v>386.108</v>
      </c>
      <c r="N262" s="198"/>
      <c r="O262" s="175"/>
      <c r="P262" s="175"/>
      <c r="Q262" s="175"/>
      <c r="R262" s="199"/>
      <c r="S262" s="199"/>
      <c r="T262" s="199"/>
      <c r="U262" s="199"/>
      <c r="V262" s="175"/>
      <c r="Y262" s="84"/>
      <c r="Z262" s="84"/>
    </row>
    <row r="263" spans="1:26" ht="26.25" customHeight="1">
      <c r="A263" s="3616"/>
      <c r="B263" s="2846" t="s">
        <v>727</v>
      </c>
      <c r="C263" s="2846"/>
      <c r="D263" s="2846"/>
      <c r="E263" s="256">
        <v>0</v>
      </c>
      <c r="F263" s="261"/>
      <c r="G263" s="505">
        <v>0</v>
      </c>
      <c r="H263" s="172">
        <f>SUM(H46,H71,H81,H109,H120,H155,H168,H237,H248,H108)</f>
        <v>2658.145</v>
      </c>
      <c r="I263" s="603">
        <f t="shared" si="81"/>
        <v>-0.65991321015219262</v>
      </c>
      <c r="J263" s="256">
        <f>SUM(J46,J71,J81,J109,J120,J155,J168,J237,J248,J108,J254,J58,J52,)</f>
        <v>904</v>
      </c>
      <c r="K263" s="172">
        <f>SUM(K46,K71,K81,K109,K120,K155,K168,K248,K108,K254,K58,K52,K218,)</f>
        <v>2476.1280000000002</v>
      </c>
      <c r="L263" s="172">
        <f>SUM(L46,L71,L81,L109,L120,L155,L168,L248,L108,L254,L58,L52,L218,)</f>
        <v>918.5200000000001</v>
      </c>
      <c r="M263" s="172">
        <f t="shared" ref="M263" si="95">SUM(M46,M71,M81,M109,M120,M155,M168,M248,M108,M254,M58,M52,M218,)</f>
        <v>0</v>
      </c>
      <c r="O263" s="255"/>
      <c r="P263" s="175"/>
      <c r="Q263" s="175"/>
      <c r="R263" s="199"/>
      <c r="S263" s="199"/>
      <c r="T263" s="199"/>
      <c r="U263" s="199"/>
      <c r="V263" s="175"/>
      <c r="Y263" s="84"/>
      <c r="Z263" s="84"/>
    </row>
    <row r="264" spans="1:26" ht="42.6" customHeight="1">
      <c r="A264" s="3616"/>
      <c r="B264" s="2847" t="s">
        <v>728</v>
      </c>
      <c r="C264" s="2847"/>
      <c r="D264" s="2847"/>
      <c r="E264" s="282">
        <v>992.99099999999999</v>
      </c>
      <c r="F264" s="261">
        <f t="shared" si="83"/>
        <v>-1</v>
      </c>
      <c r="G264" s="622">
        <v>0</v>
      </c>
      <c r="H264" s="172">
        <v>0</v>
      </c>
      <c r="I264" s="603" t="e">
        <f t="shared" si="81"/>
        <v>#DIV/0!</v>
      </c>
      <c r="J264" s="256">
        <v>0</v>
      </c>
      <c r="K264" s="172">
        <v>0</v>
      </c>
      <c r="L264" s="172">
        <v>0</v>
      </c>
      <c r="M264" s="172">
        <v>0</v>
      </c>
      <c r="O264" s="198"/>
      <c r="P264" s="175"/>
      <c r="Q264" s="175"/>
      <c r="R264" s="199"/>
      <c r="S264" s="199"/>
      <c r="T264" s="199"/>
      <c r="U264" s="199"/>
      <c r="V264" s="175"/>
      <c r="Y264" s="84"/>
      <c r="Z264" s="84"/>
    </row>
    <row r="265" spans="1:26" ht="36" customHeight="1">
      <c r="A265" s="3616"/>
      <c r="B265" s="2847" t="s">
        <v>1092</v>
      </c>
      <c r="C265" s="2847"/>
      <c r="D265" s="2847"/>
      <c r="E265" s="258">
        <f>E257+E264</f>
        <v>14770.977999999999</v>
      </c>
      <c r="F265" s="261">
        <f t="shared" si="83"/>
        <v>-0.62194920336351456</v>
      </c>
      <c r="G265" s="621">
        <f t="shared" ref="G265:H265" si="96">G257+G264</f>
        <v>3532.2670000000003</v>
      </c>
      <c r="H265" s="168">
        <f t="shared" si="96"/>
        <v>5584.18</v>
      </c>
      <c r="I265" s="603">
        <f t="shared" si="81"/>
        <v>0.30373143415864101</v>
      </c>
      <c r="J265" s="260">
        <f>J257+J264</f>
        <v>7280.2710000000006</v>
      </c>
      <c r="K265" s="168">
        <f>K257+K264</f>
        <v>8928.0960000000014</v>
      </c>
      <c r="L265" s="168">
        <f t="shared" ref="L265:M265" si="97">L257+L264</f>
        <v>8676.18</v>
      </c>
      <c r="M265" s="168">
        <f t="shared" si="97"/>
        <v>8641.4529999999995</v>
      </c>
      <c r="N265" s="197"/>
      <c r="O265" s="175"/>
      <c r="P265" s="175"/>
      <c r="Q265" s="175"/>
      <c r="R265" s="199"/>
      <c r="S265" s="199"/>
      <c r="T265" s="199"/>
      <c r="U265" s="199"/>
      <c r="V265" s="175"/>
      <c r="Y265" s="84"/>
      <c r="Z265" s="84"/>
    </row>
    <row r="266" spans="1:26" ht="24" customHeight="1">
      <c r="A266" s="3616"/>
      <c r="B266" s="2847" t="s">
        <v>2028</v>
      </c>
      <c r="C266" s="2847"/>
      <c r="D266" s="2847"/>
      <c r="E266" s="258">
        <v>0</v>
      </c>
      <c r="F266" s="261"/>
      <c r="G266" s="621">
        <f>G51</f>
        <v>176.25</v>
      </c>
      <c r="H266" s="168">
        <f>H51</f>
        <v>576.25</v>
      </c>
      <c r="I266" s="603">
        <f>J266/H266-1</f>
        <v>3.332668112798264</v>
      </c>
      <c r="J266" s="260">
        <f>SUM(J51,J57,J63,)</f>
        <v>2496.6999999999998</v>
      </c>
      <c r="K266" s="168">
        <f>SUM(K51,K57,K63,)</f>
        <v>2549.0160000000001</v>
      </c>
      <c r="L266" s="168">
        <f t="shared" ref="L266:M266" si="98">SUM(L51,L57,L63,)</f>
        <v>3151.75</v>
      </c>
      <c r="M266" s="168">
        <f t="shared" si="98"/>
        <v>2539.0929999999998</v>
      </c>
      <c r="N266" s="197"/>
      <c r="O266" s="175"/>
      <c r="P266" s="175"/>
      <c r="Q266" s="175"/>
      <c r="R266" s="199"/>
      <c r="S266" s="199"/>
      <c r="T266" s="199"/>
      <c r="U266" s="199"/>
      <c r="V266" s="175"/>
      <c r="Y266" s="84"/>
      <c r="Z266" s="84"/>
    </row>
    <row r="267" spans="1:26" ht="46.9" customHeight="1">
      <c r="A267" s="3617"/>
      <c r="B267" s="2847" t="s">
        <v>729</v>
      </c>
      <c r="C267" s="2847"/>
      <c r="D267" s="2847"/>
      <c r="E267" s="171">
        <v>0</v>
      </c>
      <c r="F267" s="603"/>
      <c r="G267" s="828">
        <v>0</v>
      </c>
      <c r="H267" s="472">
        <f>H266/E265-1</f>
        <v>-0.96098768815443369</v>
      </c>
      <c r="I267" s="603">
        <f t="shared" si="81"/>
        <v>-1</v>
      </c>
      <c r="J267" s="827"/>
      <c r="K267" s="472">
        <f>K266/H266-1</f>
        <v>3.4234550976138829</v>
      </c>
      <c r="L267" s="472">
        <f>L266/K266-1</f>
        <v>0.2364575192937195</v>
      </c>
      <c r="M267" s="472">
        <f>M266/L266-1</f>
        <v>-0.19438629332910295</v>
      </c>
      <c r="N267" s="197"/>
      <c r="O267" s="175"/>
      <c r="P267" s="175"/>
      <c r="Q267" s="175"/>
      <c r="R267" s="199"/>
      <c r="S267" s="199"/>
      <c r="T267" s="199"/>
      <c r="U267" s="199"/>
      <c r="V267" s="175"/>
      <c r="Y267" s="84"/>
      <c r="Z267" s="84"/>
    </row>
    <row r="268" spans="1:26" ht="42" hidden="1" customHeight="1">
      <c r="E268" s="84"/>
      <c r="F268" s="84"/>
      <c r="J268" s="91" t="s">
        <v>4065</v>
      </c>
      <c r="K268" s="84">
        <f>5253.068</f>
        <v>5253.0680000000002</v>
      </c>
      <c r="Y268" s="84"/>
      <c r="Z268" s="84"/>
    </row>
    <row r="269" spans="1:26" ht="42" hidden="1" customHeight="1">
      <c r="E269" s="84"/>
      <c r="F269" s="84"/>
      <c r="H269" s="84">
        <v>4436.9719999999998</v>
      </c>
      <c r="Y269" s="84"/>
      <c r="Z269" s="84"/>
    </row>
    <row r="270" spans="1:26" ht="42" hidden="1" customHeight="1">
      <c r="E270" s="84"/>
      <c r="F270" s="84"/>
      <c r="H270" s="113">
        <f>H269-H258-H260-H262-H263</f>
        <v>0</v>
      </c>
      <c r="I270" s="113"/>
      <c r="J270" s="574"/>
      <c r="Y270" s="84"/>
      <c r="Z270" s="84"/>
    </row>
    <row r="271" spans="1:26" ht="42" hidden="1" customHeight="1">
      <c r="B271" s="3516"/>
      <c r="C271" s="3516"/>
      <c r="D271" s="3516"/>
      <c r="E271" s="87"/>
      <c r="F271" s="84"/>
      <c r="G271" s="128"/>
      <c r="H271" s="128"/>
      <c r="I271" s="128"/>
      <c r="J271" s="601"/>
      <c r="K271" s="128"/>
      <c r="L271" s="128"/>
      <c r="M271" s="128"/>
      <c r="N271" s="128"/>
      <c r="O271" s="128"/>
      <c r="Y271" s="84"/>
      <c r="Z271" s="84"/>
    </row>
    <row r="272" spans="1:26" ht="23.25" hidden="1" customHeight="1">
      <c r="E272" s="84"/>
      <c r="F272" s="84"/>
      <c r="K272" s="113">
        <f>K268-K258-K260-K262-K263</f>
        <v>0</v>
      </c>
      <c r="L272" s="113"/>
      <c r="Y272" s="84"/>
      <c r="Z272" s="84"/>
    </row>
    <row r="273" spans="5:26" ht="42" hidden="1" customHeight="1">
      <c r="E273" s="84"/>
      <c r="F273" s="84"/>
      <c r="J273" s="1224"/>
      <c r="K273" s="1225">
        <v>6642.768</v>
      </c>
      <c r="L273" s="1226">
        <v>8676.18</v>
      </c>
      <c r="M273" s="1225">
        <v>8641.4529999999995</v>
      </c>
      <c r="Y273" s="84"/>
      <c r="Z273" s="84"/>
    </row>
    <row r="274" spans="5:26" ht="42" hidden="1" customHeight="1">
      <c r="E274" s="84"/>
      <c r="F274" s="84"/>
      <c r="J274" s="1224" t="s">
        <v>246</v>
      </c>
      <c r="K274" s="1226">
        <f>K265-K273</f>
        <v>2285.3280000000013</v>
      </c>
      <c r="L274" s="1226">
        <f>L273-L265</f>
        <v>0</v>
      </c>
      <c r="M274" s="1226">
        <f>M265-M273</f>
        <v>0</v>
      </c>
      <c r="Y274" s="84"/>
      <c r="Z274" s="84"/>
    </row>
    <row r="275" spans="5:26" ht="42" hidden="1" customHeight="1">
      <c r="E275" s="84"/>
      <c r="F275" s="84"/>
      <c r="H275" s="113"/>
      <c r="I275" s="113"/>
      <c r="J275" s="1227"/>
      <c r="K275" s="1226">
        <f>K261-K274</f>
        <v>0</v>
      </c>
      <c r="L275" s="1225"/>
      <c r="M275" s="1225"/>
      <c r="Y275" s="84"/>
      <c r="Z275" s="84"/>
    </row>
    <row r="276" spans="5:26" ht="42" hidden="1" customHeight="1">
      <c r="E276" s="84"/>
      <c r="F276" s="84"/>
      <c r="H276" s="113"/>
      <c r="I276" s="113"/>
      <c r="J276" s="574"/>
      <c r="Y276" s="84"/>
      <c r="Z276" s="84"/>
    </row>
    <row r="277" spans="5:26" ht="42" hidden="1" customHeight="1">
      <c r="E277" s="84"/>
      <c r="F277" s="84"/>
      <c r="H277" s="113"/>
      <c r="I277" s="113"/>
      <c r="J277" s="574"/>
      <c r="Y277" s="84"/>
      <c r="Z277" s="84"/>
    </row>
    <row r="278" spans="5:26" ht="42" customHeight="1">
      <c r="E278" s="84"/>
      <c r="F278" s="84"/>
      <c r="H278" s="113"/>
      <c r="I278" s="113"/>
      <c r="J278" s="574"/>
      <c r="Y278" s="84"/>
      <c r="Z278" s="84"/>
    </row>
    <row r="279" spans="5:26" ht="42" customHeight="1">
      <c r="E279" s="84"/>
      <c r="F279" s="84"/>
      <c r="Y279" s="84"/>
      <c r="Z279" s="84"/>
    </row>
    <row r="280" spans="5:26" ht="42" customHeight="1">
      <c r="E280" s="84"/>
      <c r="F280" s="84"/>
      <c r="Y280" s="84"/>
      <c r="Z280" s="84"/>
    </row>
    <row r="281" spans="5:26" ht="42" customHeight="1">
      <c r="E281" s="84"/>
      <c r="F281" s="84"/>
      <c r="Y281" s="84"/>
      <c r="Z281" s="84"/>
    </row>
    <row r="282" spans="5:26" ht="42" customHeight="1">
      <c r="E282" s="84"/>
      <c r="F282" s="84"/>
      <c r="Y282" s="84"/>
      <c r="Z282" s="84"/>
    </row>
    <row r="283" spans="5:26" ht="42" customHeight="1">
      <c r="E283" s="84"/>
      <c r="F283" s="84"/>
      <c r="Y283" s="84"/>
      <c r="Z283" s="84"/>
    </row>
    <row r="284" spans="5:26" ht="42" customHeight="1">
      <c r="E284" s="84"/>
      <c r="F284" s="84"/>
      <c r="Y284" s="84"/>
      <c r="Z284" s="84"/>
    </row>
    <row r="285" spans="5:26" ht="42" customHeight="1">
      <c r="E285" s="84"/>
      <c r="F285" s="84"/>
      <c r="Y285" s="84"/>
      <c r="Z285" s="84"/>
    </row>
    <row r="286" spans="5:26" ht="42" customHeight="1">
      <c r="E286" s="84"/>
      <c r="F286" s="84"/>
      <c r="Y286" s="84"/>
      <c r="Z286" s="84"/>
    </row>
    <row r="287" spans="5:26" ht="42" customHeight="1">
      <c r="E287" s="84"/>
      <c r="F287" s="84"/>
      <c r="Y287" s="84"/>
      <c r="Z287" s="84"/>
    </row>
    <row r="288" spans="5:26" ht="42" customHeight="1">
      <c r="E288" s="84"/>
      <c r="F288" s="84"/>
      <c r="Y288" s="84"/>
      <c r="Z288" s="84"/>
    </row>
    <row r="289" spans="5:26" ht="42" customHeight="1">
      <c r="E289" s="84"/>
      <c r="F289" s="84"/>
      <c r="Y289" s="84"/>
      <c r="Z289" s="84"/>
    </row>
    <row r="290" spans="5:26" ht="42" customHeight="1">
      <c r="E290" s="84"/>
      <c r="F290" s="84"/>
      <c r="Y290" s="84"/>
      <c r="Z290" s="84"/>
    </row>
    <row r="291" spans="5:26" ht="42" customHeight="1">
      <c r="E291" s="84"/>
      <c r="F291" s="84"/>
      <c r="Y291" s="84"/>
      <c r="Z291" s="84"/>
    </row>
    <row r="292" spans="5:26" ht="42" customHeight="1">
      <c r="E292" s="84"/>
      <c r="F292" s="84"/>
      <c r="Y292" s="84"/>
      <c r="Z292" s="84"/>
    </row>
    <row r="293" spans="5:26" ht="42" customHeight="1">
      <c r="E293" s="84"/>
      <c r="F293" s="84"/>
      <c r="Y293" s="84"/>
      <c r="Z293" s="84"/>
    </row>
    <row r="294" spans="5:26" ht="42" customHeight="1">
      <c r="E294" s="84"/>
      <c r="F294" s="84"/>
      <c r="Y294" s="84"/>
      <c r="Z294" s="84"/>
    </row>
    <row r="295" spans="5:26" ht="42" customHeight="1">
      <c r="E295" s="84"/>
      <c r="F295" s="84"/>
      <c r="Y295" s="84"/>
      <c r="Z295" s="84"/>
    </row>
    <row r="296" spans="5:26" ht="42" customHeight="1">
      <c r="E296" s="84"/>
      <c r="F296" s="84"/>
      <c r="Y296" s="84"/>
      <c r="Z296" s="84"/>
    </row>
    <row r="297" spans="5:26" ht="42" customHeight="1">
      <c r="E297" s="84"/>
      <c r="F297" s="84"/>
      <c r="Y297" s="84"/>
      <c r="Z297" s="84"/>
    </row>
    <row r="298" spans="5:26" ht="42" customHeight="1">
      <c r="E298" s="84"/>
      <c r="F298" s="84"/>
      <c r="Y298" s="84"/>
      <c r="Z298" s="84"/>
    </row>
    <row r="299" spans="5:26" ht="42" customHeight="1">
      <c r="E299" s="84"/>
      <c r="F299" s="84"/>
      <c r="Y299" s="84"/>
      <c r="Z299" s="84"/>
    </row>
    <row r="300" spans="5:26" ht="42" customHeight="1">
      <c r="E300" s="84"/>
      <c r="F300" s="84"/>
      <c r="Y300" s="84"/>
      <c r="Z300" s="84"/>
    </row>
    <row r="301" spans="5:26" ht="42" customHeight="1">
      <c r="E301" s="84"/>
      <c r="F301" s="84"/>
      <c r="Y301" s="84"/>
      <c r="Z301" s="84"/>
    </row>
    <row r="302" spans="5:26" ht="42" customHeight="1">
      <c r="E302" s="84"/>
      <c r="F302" s="84"/>
      <c r="Y302" s="84"/>
      <c r="Z302" s="84"/>
    </row>
    <row r="303" spans="5:26" ht="42" customHeight="1">
      <c r="E303" s="84"/>
      <c r="F303" s="84"/>
      <c r="Y303" s="84"/>
      <c r="Z303" s="84"/>
    </row>
    <row r="304" spans="5:26" ht="42" customHeight="1">
      <c r="E304" s="84"/>
      <c r="F304" s="84"/>
      <c r="Y304" s="84"/>
      <c r="Z304" s="84"/>
    </row>
    <row r="305" spans="5:26" ht="42" customHeight="1">
      <c r="E305" s="84"/>
      <c r="F305" s="84"/>
      <c r="Y305" s="84"/>
      <c r="Z305" s="84"/>
    </row>
    <row r="306" spans="5:26" ht="42" customHeight="1">
      <c r="E306" s="84"/>
      <c r="F306" s="84"/>
      <c r="Y306" s="84"/>
      <c r="Z306" s="84"/>
    </row>
    <row r="307" spans="5:26" ht="42" customHeight="1">
      <c r="E307" s="84"/>
      <c r="F307" s="84"/>
      <c r="Y307" s="84"/>
      <c r="Z307" s="84"/>
    </row>
    <row r="308" spans="5:26" ht="42" customHeight="1">
      <c r="E308" s="84"/>
      <c r="F308" s="84"/>
      <c r="Y308" s="84"/>
      <c r="Z308" s="84"/>
    </row>
    <row r="309" spans="5:26" ht="42" customHeight="1">
      <c r="E309" s="84"/>
      <c r="F309" s="84"/>
      <c r="Y309" s="84"/>
      <c r="Z309" s="84"/>
    </row>
    <row r="310" spans="5:26" ht="42" customHeight="1">
      <c r="E310" s="84"/>
      <c r="F310" s="84"/>
      <c r="Y310" s="84"/>
      <c r="Z310" s="84"/>
    </row>
    <row r="311" spans="5:26" ht="42" customHeight="1">
      <c r="E311" s="84"/>
      <c r="F311" s="84"/>
      <c r="Y311" s="84"/>
      <c r="Z311" s="84"/>
    </row>
    <row r="312" spans="5:26" ht="42" customHeight="1">
      <c r="E312" s="84"/>
      <c r="F312" s="84"/>
      <c r="Y312" s="84"/>
      <c r="Z312" s="84"/>
    </row>
    <row r="313" spans="5:26" ht="42" customHeight="1">
      <c r="E313" s="84"/>
      <c r="F313" s="84"/>
      <c r="Y313" s="84"/>
      <c r="Z313" s="84"/>
    </row>
    <row r="314" spans="5:26" ht="42" customHeight="1">
      <c r="E314" s="84"/>
      <c r="F314" s="84"/>
      <c r="Y314" s="84"/>
      <c r="Z314" s="84"/>
    </row>
    <row r="315" spans="5:26" ht="42" customHeight="1">
      <c r="E315" s="84"/>
      <c r="F315" s="84"/>
      <c r="Y315" s="84"/>
      <c r="Z315" s="84"/>
    </row>
    <row r="316" spans="5:26" ht="42" customHeight="1">
      <c r="E316" s="84"/>
      <c r="F316" s="84"/>
      <c r="Y316" s="84"/>
      <c r="Z316" s="84"/>
    </row>
    <row r="317" spans="5:26" ht="42" customHeight="1">
      <c r="E317" s="84"/>
      <c r="F317" s="84"/>
      <c r="Y317" s="84"/>
      <c r="Z317" s="84"/>
    </row>
    <row r="318" spans="5:26" ht="42" customHeight="1">
      <c r="E318" s="84"/>
      <c r="F318" s="84"/>
      <c r="Y318" s="84"/>
      <c r="Z318" s="84"/>
    </row>
    <row r="319" spans="5:26" ht="42" customHeight="1">
      <c r="E319" s="84"/>
      <c r="F319" s="84"/>
      <c r="Y319" s="84"/>
      <c r="Z319" s="84"/>
    </row>
    <row r="320" spans="5:26" ht="42" customHeight="1">
      <c r="E320" s="84"/>
      <c r="F320" s="84"/>
      <c r="Y320" s="84"/>
      <c r="Z320" s="84"/>
    </row>
    <row r="321" spans="5:26" ht="42" customHeight="1">
      <c r="E321" s="84"/>
      <c r="F321" s="84"/>
      <c r="Y321" s="84"/>
      <c r="Z321" s="84"/>
    </row>
    <row r="322" spans="5:26" ht="42" customHeight="1">
      <c r="E322" s="84"/>
      <c r="F322" s="84"/>
      <c r="Y322" s="84"/>
      <c r="Z322" s="84"/>
    </row>
    <row r="323" spans="5:26" ht="42" customHeight="1">
      <c r="E323" s="84"/>
      <c r="F323" s="84"/>
      <c r="Y323" s="84"/>
      <c r="Z323" s="84"/>
    </row>
    <row r="324" spans="5:26" ht="42" customHeight="1">
      <c r="E324" s="84"/>
      <c r="F324" s="84"/>
      <c r="Y324" s="84"/>
      <c r="Z324" s="84"/>
    </row>
    <row r="325" spans="5:26" ht="42" customHeight="1">
      <c r="E325" s="84"/>
      <c r="F325" s="84"/>
      <c r="Y325" s="84"/>
      <c r="Z325" s="84"/>
    </row>
    <row r="326" spans="5:26" ht="42" customHeight="1">
      <c r="E326" s="84"/>
      <c r="F326" s="84"/>
      <c r="Y326" s="84"/>
      <c r="Z326" s="84"/>
    </row>
    <row r="327" spans="5:26" ht="42" customHeight="1">
      <c r="E327" s="84"/>
      <c r="F327" s="84"/>
      <c r="Y327" s="84"/>
      <c r="Z327" s="84"/>
    </row>
    <row r="328" spans="5:26" ht="42" customHeight="1">
      <c r="E328" s="84"/>
      <c r="F328" s="84"/>
      <c r="Y328" s="84"/>
      <c r="Z328" s="84"/>
    </row>
    <row r="329" spans="5:26" ht="42" customHeight="1">
      <c r="E329" s="84"/>
      <c r="F329" s="84"/>
      <c r="Y329" s="84"/>
      <c r="Z329" s="84"/>
    </row>
    <row r="330" spans="5:26" ht="42" customHeight="1">
      <c r="E330" s="84"/>
      <c r="F330" s="84"/>
      <c r="Y330" s="84"/>
      <c r="Z330" s="84"/>
    </row>
    <row r="331" spans="5:26" ht="42" customHeight="1">
      <c r="E331" s="84"/>
      <c r="F331" s="84"/>
      <c r="Y331" s="84"/>
      <c r="Z331" s="84"/>
    </row>
    <row r="332" spans="5:26" ht="42" customHeight="1">
      <c r="E332" s="84"/>
      <c r="F332" s="84"/>
      <c r="Y332" s="84"/>
      <c r="Z332" s="84"/>
    </row>
    <row r="333" spans="5:26" ht="42" customHeight="1">
      <c r="E333" s="84"/>
      <c r="F333" s="84"/>
      <c r="Y333" s="84"/>
      <c r="Z333" s="84"/>
    </row>
    <row r="334" spans="5:26" ht="42" customHeight="1">
      <c r="E334" s="84"/>
      <c r="F334" s="84"/>
      <c r="Y334" s="84"/>
      <c r="Z334" s="84"/>
    </row>
    <row r="335" spans="5:26" ht="42" customHeight="1">
      <c r="E335" s="84"/>
      <c r="F335" s="84"/>
      <c r="Y335" s="84"/>
      <c r="Z335" s="84"/>
    </row>
    <row r="336" spans="5:26" ht="42" customHeight="1">
      <c r="E336" s="84"/>
      <c r="F336" s="84"/>
      <c r="Y336" s="84"/>
      <c r="Z336" s="84"/>
    </row>
    <row r="337" spans="5:26" ht="42" customHeight="1">
      <c r="E337" s="84"/>
      <c r="F337" s="84"/>
      <c r="Y337" s="84"/>
      <c r="Z337" s="84"/>
    </row>
    <row r="338" spans="5:26" ht="42" customHeight="1">
      <c r="E338" s="84"/>
      <c r="F338" s="84"/>
      <c r="Y338" s="84"/>
      <c r="Z338" s="84"/>
    </row>
    <row r="339" spans="5:26" ht="42" customHeight="1">
      <c r="E339" s="84"/>
      <c r="F339" s="84"/>
      <c r="Y339" s="84"/>
      <c r="Z339" s="84"/>
    </row>
    <row r="340" spans="5:26" ht="42" customHeight="1">
      <c r="E340" s="84"/>
      <c r="F340" s="84"/>
      <c r="Y340" s="84"/>
      <c r="Z340" s="84"/>
    </row>
    <row r="341" spans="5:26" ht="42" customHeight="1">
      <c r="E341" s="84"/>
      <c r="F341" s="84"/>
      <c r="Y341" s="84"/>
      <c r="Z341" s="84"/>
    </row>
    <row r="342" spans="5:26" ht="42" customHeight="1">
      <c r="E342" s="84"/>
      <c r="F342" s="84"/>
      <c r="Y342" s="84"/>
      <c r="Z342" s="84"/>
    </row>
    <row r="343" spans="5:26" ht="42" customHeight="1">
      <c r="E343" s="84"/>
      <c r="F343" s="84"/>
      <c r="Y343" s="84"/>
      <c r="Z343" s="84"/>
    </row>
    <row r="344" spans="5:26" ht="42" customHeight="1">
      <c r="E344" s="84"/>
      <c r="F344" s="84"/>
      <c r="Y344" s="84"/>
      <c r="Z344" s="84"/>
    </row>
    <row r="345" spans="5:26" ht="42" customHeight="1">
      <c r="E345" s="84"/>
      <c r="F345" s="84"/>
      <c r="Y345" s="84"/>
      <c r="Z345" s="84"/>
    </row>
    <row r="346" spans="5:26" ht="42" customHeight="1">
      <c r="E346" s="84"/>
      <c r="F346" s="84"/>
      <c r="Y346" s="84"/>
      <c r="Z346" s="84"/>
    </row>
    <row r="347" spans="5:26" ht="42" customHeight="1">
      <c r="E347" s="84"/>
      <c r="F347" s="84"/>
      <c r="Y347" s="84"/>
      <c r="Z347" s="84"/>
    </row>
    <row r="348" spans="5:26" ht="42" customHeight="1">
      <c r="E348" s="84"/>
      <c r="F348" s="84"/>
      <c r="Y348" s="84"/>
      <c r="Z348" s="84"/>
    </row>
    <row r="349" spans="5:26" ht="42" customHeight="1">
      <c r="E349" s="84"/>
      <c r="F349" s="84"/>
      <c r="Y349" s="84"/>
      <c r="Z349" s="84"/>
    </row>
    <row r="350" spans="5:26" ht="42" customHeight="1">
      <c r="E350" s="84"/>
      <c r="F350" s="84"/>
      <c r="Y350" s="84"/>
      <c r="Z350" s="84"/>
    </row>
    <row r="351" spans="5:26" ht="42" customHeight="1">
      <c r="E351" s="84"/>
      <c r="F351" s="84"/>
      <c r="Y351" s="84"/>
      <c r="Z351" s="84"/>
    </row>
    <row r="352" spans="5:26" ht="42" customHeight="1">
      <c r="E352" s="84"/>
      <c r="F352" s="84"/>
      <c r="Y352" s="84"/>
      <c r="Z352" s="84"/>
    </row>
    <row r="353" spans="5:26" ht="42" customHeight="1">
      <c r="E353" s="84"/>
      <c r="F353" s="84"/>
      <c r="Y353" s="84"/>
      <c r="Z353" s="84"/>
    </row>
    <row r="354" spans="5:26" ht="42" customHeight="1">
      <c r="E354" s="84"/>
      <c r="F354" s="84"/>
      <c r="Y354" s="84"/>
      <c r="Z354" s="84"/>
    </row>
    <row r="355" spans="5:26" ht="42" customHeight="1">
      <c r="E355" s="84"/>
      <c r="F355" s="84"/>
      <c r="Y355" s="84"/>
      <c r="Z355" s="84"/>
    </row>
    <row r="356" spans="5:26" ht="42" customHeight="1">
      <c r="E356" s="84"/>
      <c r="F356" s="84"/>
      <c r="Y356" s="84"/>
      <c r="Z356" s="84"/>
    </row>
    <row r="357" spans="5:26" ht="42" customHeight="1">
      <c r="E357" s="84"/>
      <c r="F357" s="84"/>
      <c r="Y357" s="84"/>
      <c r="Z357" s="84"/>
    </row>
    <row r="358" spans="5:26" ht="42" customHeight="1">
      <c r="E358" s="84"/>
      <c r="F358" s="84"/>
      <c r="Y358" s="84"/>
      <c r="Z358" s="84"/>
    </row>
    <row r="359" spans="5:26" ht="42" customHeight="1">
      <c r="E359" s="84"/>
      <c r="F359" s="84"/>
      <c r="Y359" s="84"/>
      <c r="Z359" s="84"/>
    </row>
    <row r="360" spans="5:26" ht="42" customHeight="1">
      <c r="E360" s="84"/>
      <c r="F360" s="84"/>
      <c r="Y360" s="84"/>
      <c r="Z360" s="84"/>
    </row>
    <row r="361" spans="5:26" ht="42" customHeight="1">
      <c r="E361" s="84"/>
      <c r="F361" s="84"/>
      <c r="Y361" s="84"/>
      <c r="Z361" s="84"/>
    </row>
    <row r="362" spans="5:26" ht="42" customHeight="1">
      <c r="E362" s="84"/>
      <c r="F362" s="84"/>
      <c r="Y362" s="84"/>
      <c r="Z362" s="84"/>
    </row>
    <row r="363" spans="5:26" ht="42" customHeight="1">
      <c r="E363" s="84"/>
      <c r="F363" s="84"/>
      <c r="Y363" s="84"/>
      <c r="Z363" s="84"/>
    </row>
    <row r="364" spans="5:26" ht="42" customHeight="1">
      <c r="E364" s="84"/>
      <c r="F364" s="84"/>
      <c r="Y364" s="84"/>
      <c r="Z364" s="84"/>
    </row>
    <row r="365" spans="5:26" ht="42" customHeight="1">
      <c r="E365" s="84"/>
      <c r="F365" s="84"/>
      <c r="Y365" s="84"/>
      <c r="Z365" s="84"/>
    </row>
    <row r="366" spans="5:26" ht="42" customHeight="1">
      <c r="E366" s="84"/>
      <c r="F366" s="84"/>
      <c r="Y366" s="84"/>
      <c r="Z366" s="84"/>
    </row>
    <row r="367" spans="5:26" ht="42" customHeight="1">
      <c r="E367" s="84"/>
      <c r="F367" s="84"/>
      <c r="Y367" s="84"/>
      <c r="Z367" s="84"/>
    </row>
    <row r="368" spans="5:26" ht="42" customHeight="1">
      <c r="E368" s="84"/>
      <c r="F368" s="84"/>
      <c r="Y368" s="84"/>
      <c r="Z368" s="84"/>
    </row>
    <row r="369" spans="5:26" ht="42" customHeight="1">
      <c r="E369" s="84"/>
      <c r="F369" s="84"/>
      <c r="Y369" s="84"/>
      <c r="Z369" s="84"/>
    </row>
    <row r="370" spans="5:26" ht="42" customHeight="1">
      <c r="E370" s="84"/>
      <c r="F370" s="84"/>
      <c r="Y370" s="84"/>
      <c r="Z370" s="84"/>
    </row>
    <row r="371" spans="5:26" ht="42" customHeight="1">
      <c r="E371" s="84"/>
      <c r="F371" s="84"/>
      <c r="Y371" s="84"/>
      <c r="Z371" s="84"/>
    </row>
    <row r="372" spans="5:26" ht="42" customHeight="1">
      <c r="E372" s="84"/>
      <c r="F372" s="84"/>
      <c r="Y372" s="84"/>
      <c r="Z372" s="84"/>
    </row>
    <row r="373" spans="5:26" ht="42" customHeight="1">
      <c r="E373" s="84"/>
      <c r="F373" s="84"/>
      <c r="Y373" s="84"/>
      <c r="Z373" s="84"/>
    </row>
    <row r="374" spans="5:26" ht="42" customHeight="1">
      <c r="E374" s="84"/>
      <c r="F374" s="84"/>
      <c r="Y374" s="84"/>
      <c r="Z374" s="84"/>
    </row>
    <row r="375" spans="5:26" ht="42" customHeight="1">
      <c r="E375" s="84"/>
      <c r="F375" s="84"/>
      <c r="Y375" s="84"/>
      <c r="Z375" s="84"/>
    </row>
    <row r="376" spans="5:26" ht="42" customHeight="1">
      <c r="E376" s="84"/>
      <c r="F376" s="84"/>
      <c r="Y376" s="84"/>
      <c r="Z376" s="84"/>
    </row>
    <row r="377" spans="5:26" ht="42" customHeight="1">
      <c r="E377" s="84"/>
      <c r="F377" s="84"/>
      <c r="Y377" s="84"/>
      <c r="Z377" s="84"/>
    </row>
    <row r="378" spans="5:26" ht="42" customHeight="1">
      <c r="E378" s="84"/>
      <c r="F378" s="84"/>
      <c r="Y378" s="84"/>
      <c r="Z378" s="84"/>
    </row>
    <row r="379" spans="5:26" ht="42" customHeight="1">
      <c r="E379" s="84"/>
      <c r="F379" s="84"/>
      <c r="Y379" s="84"/>
      <c r="Z379" s="84"/>
    </row>
    <row r="380" spans="5:26" ht="42" customHeight="1">
      <c r="E380" s="84"/>
      <c r="F380" s="84"/>
      <c r="Y380" s="84"/>
      <c r="Z380" s="84"/>
    </row>
    <row r="381" spans="5:26" ht="42" customHeight="1">
      <c r="E381" s="84"/>
      <c r="F381" s="84"/>
      <c r="Y381" s="84"/>
      <c r="Z381" s="84"/>
    </row>
    <row r="382" spans="5:26" ht="42" customHeight="1">
      <c r="E382" s="84"/>
      <c r="F382" s="84"/>
      <c r="Y382" s="84"/>
      <c r="Z382" s="84"/>
    </row>
    <row r="383" spans="5:26" ht="42" customHeight="1">
      <c r="E383" s="84"/>
      <c r="F383" s="84"/>
      <c r="Y383" s="84"/>
      <c r="Z383" s="84"/>
    </row>
    <row r="384" spans="5:26" ht="42" customHeight="1">
      <c r="E384" s="84"/>
      <c r="F384" s="84"/>
      <c r="Y384" s="84"/>
      <c r="Z384" s="84"/>
    </row>
    <row r="385" spans="5:26" ht="42" customHeight="1">
      <c r="E385" s="84"/>
      <c r="F385" s="84"/>
      <c r="Y385" s="84"/>
      <c r="Z385" s="84"/>
    </row>
    <row r="386" spans="5:26" ht="42" customHeight="1">
      <c r="E386" s="84"/>
      <c r="F386" s="84"/>
      <c r="Y386" s="84"/>
      <c r="Z386" s="84"/>
    </row>
    <row r="387" spans="5:26" ht="42" customHeight="1">
      <c r="E387" s="84"/>
      <c r="F387" s="84"/>
      <c r="Y387" s="84"/>
      <c r="Z387" s="84"/>
    </row>
    <row r="388" spans="5:26" ht="42" customHeight="1">
      <c r="E388" s="84"/>
      <c r="F388" s="84"/>
      <c r="Y388" s="84"/>
      <c r="Z388" s="84"/>
    </row>
    <row r="389" spans="5:26" ht="42" customHeight="1">
      <c r="E389" s="84"/>
      <c r="F389" s="84"/>
      <c r="Y389" s="84"/>
      <c r="Z389" s="84"/>
    </row>
    <row r="390" spans="5:26" ht="42" customHeight="1">
      <c r="E390" s="84"/>
      <c r="F390" s="84"/>
      <c r="Y390" s="84"/>
      <c r="Z390" s="84"/>
    </row>
    <row r="391" spans="5:26" ht="42" customHeight="1">
      <c r="E391" s="84"/>
      <c r="F391" s="84"/>
      <c r="Y391" s="84"/>
      <c r="Z391" s="84"/>
    </row>
    <row r="392" spans="5:26" ht="42" customHeight="1">
      <c r="E392" s="84"/>
      <c r="F392" s="84"/>
      <c r="Y392" s="84"/>
      <c r="Z392" s="84"/>
    </row>
    <row r="393" spans="5:26" ht="42" customHeight="1">
      <c r="E393" s="84"/>
      <c r="F393" s="84"/>
      <c r="Y393" s="84"/>
      <c r="Z393" s="84"/>
    </row>
    <row r="394" spans="5:26" ht="42" customHeight="1">
      <c r="E394" s="84"/>
      <c r="F394" s="84"/>
      <c r="Y394" s="84"/>
      <c r="Z394" s="84"/>
    </row>
    <row r="395" spans="5:26" ht="42" customHeight="1">
      <c r="E395" s="84"/>
      <c r="F395" s="84"/>
      <c r="Y395" s="84"/>
      <c r="Z395" s="84"/>
    </row>
    <row r="396" spans="5:26" ht="42" customHeight="1">
      <c r="E396" s="84"/>
      <c r="F396" s="84"/>
      <c r="Y396" s="84"/>
      <c r="Z396" s="84"/>
    </row>
    <row r="397" spans="5:26" ht="42" customHeight="1">
      <c r="E397" s="84"/>
      <c r="F397" s="84"/>
      <c r="Y397" s="84"/>
      <c r="Z397" s="84"/>
    </row>
    <row r="398" spans="5:26" ht="42" customHeight="1">
      <c r="E398" s="84"/>
      <c r="F398" s="84"/>
      <c r="Y398" s="84"/>
      <c r="Z398" s="84"/>
    </row>
    <row r="399" spans="5:26" ht="42" customHeight="1">
      <c r="E399" s="84"/>
      <c r="F399" s="84"/>
      <c r="Y399" s="84"/>
      <c r="Z399" s="84"/>
    </row>
    <row r="400" spans="5:26" ht="42" customHeight="1">
      <c r="E400" s="84"/>
      <c r="F400" s="84"/>
      <c r="Y400" s="84"/>
      <c r="Z400" s="84"/>
    </row>
    <row r="401" spans="5:26" ht="42" customHeight="1">
      <c r="E401" s="84"/>
      <c r="F401" s="84"/>
      <c r="Y401" s="84"/>
      <c r="Z401" s="84"/>
    </row>
    <row r="402" spans="5:26" ht="42" customHeight="1">
      <c r="E402" s="84"/>
      <c r="F402" s="84"/>
      <c r="Y402" s="84"/>
      <c r="Z402" s="84"/>
    </row>
    <row r="403" spans="5:26" ht="42" customHeight="1">
      <c r="E403" s="84"/>
      <c r="F403" s="84"/>
      <c r="Y403" s="84"/>
      <c r="Z403" s="84"/>
    </row>
    <row r="404" spans="5:26" ht="42" customHeight="1">
      <c r="E404" s="84"/>
      <c r="F404" s="84"/>
      <c r="Y404" s="84"/>
      <c r="Z404" s="84"/>
    </row>
    <row r="405" spans="5:26" ht="42" customHeight="1">
      <c r="E405" s="84"/>
      <c r="F405" s="84"/>
      <c r="Y405" s="84"/>
      <c r="Z405" s="84"/>
    </row>
    <row r="406" spans="5:26" ht="42" customHeight="1">
      <c r="E406" s="84"/>
      <c r="F406" s="84"/>
      <c r="Y406" s="84"/>
      <c r="Z406" s="84"/>
    </row>
    <row r="407" spans="5:26" ht="42" customHeight="1">
      <c r="E407" s="84"/>
      <c r="F407" s="84"/>
      <c r="Y407" s="84"/>
      <c r="Z407" s="84"/>
    </row>
    <row r="408" spans="5:26" ht="42" customHeight="1">
      <c r="E408" s="84"/>
      <c r="F408" s="84"/>
      <c r="Y408" s="84"/>
      <c r="Z408" s="84"/>
    </row>
    <row r="409" spans="5:26" ht="42" customHeight="1">
      <c r="E409" s="84"/>
      <c r="F409" s="84"/>
      <c r="Y409" s="84"/>
      <c r="Z409" s="84"/>
    </row>
    <row r="410" spans="5:26" ht="42" customHeight="1">
      <c r="E410" s="84"/>
      <c r="F410" s="84"/>
      <c r="Y410" s="84"/>
      <c r="Z410" s="84"/>
    </row>
    <row r="411" spans="5:26" ht="42" customHeight="1">
      <c r="E411" s="84"/>
      <c r="F411" s="84"/>
      <c r="Y411" s="84"/>
      <c r="Z411" s="84"/>
    </row>
    <row r="412" spans="5:26" ht="42" customHeight="1">
      <c r="E412" s="84"/>
      <c r="F412" s="84"/>
      <c r="Y412" s="84"/>
      <c r="Z412" s="84"/>
    </row>
    <row r="413" spans="5:26" ht="42" customHeight="1">
      <c r="E413" s="84"/>
      <c r="F413" s="84"/>
      <c r="Y413" s="84"/>
      <c r="Z413" s="84"/>
    </row>
    <row r="414" spans="5:26" ht="42" customHeight="1">
      <c r="E414" s="84"/>
      <c r="F414" s="84"/>
      <c r="Y414" s="84"/>
      <c r="Z414" s="84"/>
    </row>
    <row r="415" spans="5:26" ht="42" customHeight="1">
      <c r="E415" s="84"/>
      <c r="F415" s="84"/>
      <c r="Y415" s="84"/>
      <c r="Z415" s="84"/>
    </row>
    <row r="416" spans="5:26" ht="42" customHeight="1">
      <c r="E416" s="84"/>
      <c r="F416" s="84"/>
      <c r="Y416" s="84"/>
      <c r="Z416" s="84"/>
    </row>
    <row r="417" spans="5:26" ht="42" customHeight="1">
      <c r="E417" s="84"/>
      <c r="F417" s="84"/>
      <c r="Y417" s="84"/>
      <c r="Z417" s="84"/>
    </row>
    <row r="418" spans="5:26" ht="42" customHeight="1">
      <c r="E418" s="84"/>
      <c r="F418" s="84"/>
      <c r="Y418" s="84"/>
      <c r="Z418" s="84"/>
    </row>
    <row r="419" spans="5:26" ht="42" customHeight="1">
      <c r="E419" s="84"/>
      <c r="F419" s="84"/>
      <c r="Y419" s="84"/>
      <c r="Z419" s="84"/>
    </row>
    <row r="420" spans="5:26" ht="42" customHeight="1">
      <c r="E420" s="84"/>
      <c r="F420" s="84"/>
      <c r="Y420" s="84"/>
      <c r="Z420" s="84"/>
    </row>
    <row r="421" spans="5:26" ht="42" customHeight="1">
      <c r="E421" s="84"/>
      <c r="F421" s="84"/>
      <c r="Y421" s="84"/>
      <c r="Z421" s="84"/>
    </row>
    <row r="422" spans="5:26" ht="42" customHeight="1">
      <c r="E422" s="84"/>
      <c r="F422" s="84"/>
      <c r="Y422" s="84"/>
      <c r="Z422" s="84"/>
    </row>
    <row r="423" spans="5:26" ht="42" customHeight="1">
      <c r="E423" s="84"/>
      <c r="F423" s="84"/>
      <c r="Y423" s="84"/>
      <c r="Z423" s="84"/>
    </row>
    <row r="424" spans="5:26" ht="42" customHeight="1">
      <c r="E424" s="84"/>
      <c r="F424" s="84"/>
      <c r="Y424" s="84"/>
      <c r="Z424" s="84"/>
    </row>
    <row r="425" spans="5:26" ht="42" customHeight="1">
      <c r="E425" s="84"/>
      <c r="F425" s="84"/>
      <c r="Y425" s="84"/>
      <c r="Z425" s="84"/>
    </row>
    <row r="426" spans="5:26" ht="42" customHeight="1">
      <c r="E426" s="84"/>
      <c r="F426" s="84"/>
      <c r="Y426" s="84"/>
      <c r="Z426" s="84"/>
    </row>
    <row r="427" spans="5:26" ht="42" customHeight="1">
      <c r="E427" s="84"/>
      <c r="F427" s="84"/>
      <c r="Y427" s="84"/>
      <c r="Z427" s="84"/>
    </row>
    <row r="428" spans="5:26" ht="42" customHeight="1">
      <c r="E428" s="84"/>
      <c r="F428" s="84"/>
      <c r="Y428" s="84"/>
      <c r="Z428" s="84"/>
    </row>
    <row r="429" spans="5:26" ht="42" customHeight="1">
      <c r="E429" s="84"/>
      <c r="F429" s="84"/>
      <c r="Y429" s="84"/>
      <c r="Z429" s="84"/>
    </row>
    <row r="430" spans="5:26" ht="42" customHeight="1">
      <c r="E430" s="84"/>
      <c r="F430" s="84"/>
      <c r="Y430" s="84"/>
      <c r="Z430" s="84"/>
    </row>
    <row r="431" spans="5:26" ht="42" customHeight="1">
      <c r="E431" s="84"/>
      <c r="F431" s="84"/>
      <c r="Y431" s="84"/>
      <c r="Z431" s="84"/>
    </row>
    <row r="432" spans="5:26" ht="42" customHeight="1">
      <c r="E432" s="84"/>
      <c r="F432" s="84"/>
      <c r="Y432" s="84"/>
      <c r="Z432" s="84"/>
    </row>
    <row r="433" spans="5:26" ht="42" customHeight="1">
      <c r="E433" s="84"/>
      <c r="F433" s="84"/>
      <c r="Y433" s="84"/>
      <c r="Z433" s="84"/>
    </row>
    <row r="434" spans="5:26" ht="42" customHeight="1">
      <c r="E434" s="84"/>
      <c r="F434" s="84"/>
      <c r="Y434" s="84"/>
      <c r="Z434" s="84"/>
    </row>
    <row r="435" spans="5:26" ht="42" customHeight="1">
      <c r="E435" s="84"/>
      <c r="F435" s="84"/>
      <c r="Y435" s="84"/>
      <c r="Z435" s="84"/>
    </row>
    <row r="436" spans="5:26" ht="42" customHeight="1">
      <c r="E436" s="84"/>
      <c r="F436" s="84"/>
      <c r="Y436" s="84"/>
      <c r="Z436" s="84"/>
    </row>
    <row r="437" spans="5:26" ht="42" customHeight="1">
      <c r="E437" s="84"/>
      <c r="F437" s="84"/>
      <c r="Y437" s="84"/>
      <c r="Z437" s="84"/>
    </row>
    <row r="438" spans="5:26" ht="42" customHeight="1">
      <c r="E438" s="84"/>
      <c r="F438" s="84"/>
      <c r="Y438" s="84"/>
      <c r="Z438" s="84"/>
    </row>
    <row r="439" spans="5:26" ht="42" customHeight="1">
      <c r="E439" s="84"/>
      <c r="F439" s="84"/>
      <c r="Y439" s="84"/>
      <c r="Z439" s="84"/>
    </row>
    <row r="440" spans="5:26" ht="42" customHeight="1">
      <c r="E440" s="84"/>
      <c r="F440" s="84"/>
      <c r="Y440" s="84"/>
      <c r="Z440" s="84"/>
    </row>
    <row r="441" spans="5:26" ht="42" customHeight="1">
      <c r="E441" s="84"/>
      <c r="F441" s="84"/>
      <c r="Y441" s="84"/>
      <c r="Z441" s="84"/>
    </row>
    <row r="442" spans="5:26" ht="42" customHeight="1">
      <c r="E442" s="84"/>
      <c r="F442" s="84"/>
      <c r="Y442" s="84"/>
      <c r="Z442" s="84"/>
    </row>
    <row r="443" spans="5:26" ht="42" customHeight="1">
      <c r="E443" s="84"/>
      <c r="F443" s="84"/>
      <c r="Y443" s="84"/>
      <c r="Z443" s="84"/>
    </row>
    <row r="444" spans="5:26" ht="42" customHeight="1">
      <c r="E444" s="84"/>
      <c r="F444" s="84"/>
      <c r="Y444" s="84"/>
      <c r="Z444" s="84"/>
    </row>
    <row r="445" spans="5:26" ht="42" customHeight="1">
      <c r="E445" s="84"/>
      <c r="F445" s="84"/>
      <c r="Y445" s="84"/>
      <c r="Z445" s="84"/>
    </row>
    <row r="446" spans="5:26" ht="42" customHeight="1">
      <c r="E446" s="84"/>
      <c r="F446" s="84"/>
      <c r="Y446" s="84"/>
      <c r="Z446" s="84"/>
    </row>
    <row r="447" spans="5:26" ht="42" customHeight="1">
      <c r="E447" s="84"/>
      <c r="F447" s="84"/>
      <c r="Y447" s="84"/>
      <c r="Z447" s="84"/>
    </row>
    <row r="448" spans="5:26" ht="42" customHeight="1">
      <c r="E448" s="84"/>
      <c r="F448" s="84"/>
      <c r="Y448" s="84"/>
      <c r="Z448" s="84"/>
    </row>
    <row r="449" spans="5:26" ht="42" customHeight="1">
      <c r="E449" s="84"/>
      <c r="F449" s="84"/>
      <c r="Y449" s="84"/>
      <c r="Z449" s="84"/>
    </row>
    <row r="450" spans="5:26" ht="42" customHeight="1">
      <c r="E450" s="84"/>
      <c r="F450" s="84"/>
      <c r="Y450" s="84"/>
      <c r="Z450" s="84"/>
    </row>
    <row r="451" spans="5:26" ht="42" customHeight="1">
      <c r="E451" s="84"/>
      <c r="F451" s="84"/>
      <c r="Y451" s="84"/>
      <c r="Z451" s="84"/>
    </row>
    <row r="452" spans="5:26" ht="42" customHeight="1">
      <c r="E452" s="84"/>
      <c r="F452" s="84"/>
      <c r="Y452" s="84"/>
      <c r="Z452" s="84"/>
    </row>
    <row r="453" spans="5:26" ht="42" customHeight="1">
      <c r="E453" s="84"/>
      <c r="F453" s="84"/>
      <c r="Y453" s="84"/>
      <c r="Z453" s="84"/>
    </row>
    <row r="454" spans="5:26" ht="42" customHeight="1">
      <c r="E454" s="84"/>
      <c r="F454" s="84"/>
      <c r="Y454" s="84"/>
      <c r="Z454" s="84"/>
    </row>
    <row r="455" spans="5:26" ht="42" customHeight="1">
      <c r="E455" s="84"/>
      <c r="F455" s="84"/>
      <c r="Y455" s="84"/>
      <c r="Z455" s="84"/>
    </row>
    <row r="456" spans="5:26" ht="42" customHeight="1">
      <c r="E456" s="84"/>
      <c r="F456" s="84"/>
      <c r="Y456" s="84"/>
      <c r="Z456" s="84"/>
    </row>
    <row r="457" spans="5:26" ht="42" customHeight="1">
      <c r="E457" s="84"/>
      <c r="F457" s="84"/>
      <c r="Y457" s="84"/>
      <c r="Z457" s="84"/>
    </row>
    <row r="458" spans="5:26" ht="42" customHeight="1">
      <c r="E458" s="84"/>
      <c r="F458" s="84"/>
      <c r="Y458" s="84"/>
      <c r="Z458" s="84"/>
    </row>
    <row r="459" spans="5:26" ht="42" customHeight="1">
      <c r="E459" s="84"/>
      <c r="F459" s="84"/>
      <c r="Y459" s="84"/>
      <c r="Z459" s="84"/>
    </row>
    <row r="460" spans="5:26" ht="42" customHeight="1">
      <c r="E460" s="84"/>
      <c r="F460" s="84"/>
      <c r="Y460" s="84"/>
      <c r="Z460" s="84"/>
    </row>
    <row r="461" spans="5:26" ht="42" customHeight="1">
      <c r="E461" s="84"/>
      <c r="F461" s="84"/>
      <c r="Y461" s="84"/>
      <c r="Z461" s="84"/>
    </row>
    <row r="462" spans="5:26" ht="42" customHeight="1">
      <c r="E462" s="84"/>
      <c r="F462" s="84"/>
      <c r="Y462" s="84"/>
      <c r="Z462" s="84"/>
    </row>
    <row r="463" spans="5:26" ht="42" customHeight="1">
      <c r="E463" s="84"/>
      <c r="F463" s="84"/>
      <c r="Y463" s="84"/>
      <c r="Z463" s="84"/>
    </row>
    <row r="464" spans="5:26" ht="42" customHeight="1">
      <c r="E464" s="84"/>
      <c r="F464" s="84"/>
      <c r="Y464" s="84"/>
      <c r="Z464" s="84"/>
    </row>
    <row r="465" spans="5:26" ht="42" customHeight="1">
      <c r="E465" s="84"/>
      <c r="F465" s="84"/>
      <c r="Y465" s="84"/>
      <c r="Z465" s="84"/>
    </row>
    <row r="466" spans="5:26" ht="42" customHeight="1">
      <c r="E466" s="84"/>
      <c r="F466" s="84"/>
      <c r="Y466" s="84"/>
      <c r="Z466" s="84"/>
    </row>
    <row r="467" spans="5:26" ht="42" customHeight="1">
      <c r="E467" s="84"/>
      <c r="F467" s="84"/>
      <c r="Y467" s="84"/>
      <c r="Z467" s="84"/>
    </row>
    <row r="468" spans="5:26" ht="42" customHeight="1">
      <c r="E468" s="84"/>
      <c r="F468" s="84"/>
      <c r="Y468" s="84"/>
      <c r="Z468" s="84"/>
    </row>
    <row r="469" spans="5:26" ht="42" customHeight="1">
      <c r="E469" s="84"/>
      <c r="F469" s="84"/>
      <c r="Y469" s="84"/>
      <c r="Z469" s="84"/>
    </row>
    <row r="470" spans="5:26" ht="42" customHeight="1">
      <c r="E470" s="84"/>
      <c r="F470" s="84"/>
      <c r="Y470" s="84"/>
      <c r="Z470" s="84"/>
    </row>
    <row r="471" spans="5:26" ht="42" customHeight="1">
      <c r="E471" s="84"/>
      <c r="F471" s="84"/>
      <c r="Y471" s="84"/>
      <c r="Z471" s="84"/>
    </row>
    <row r="472" spans="5:26" ht="42" customHeight="1">
      <c r="E472" s="84"/>
      <c r="F472" s="84"/>
      <c r="Y472" s="84"/>
      <c r="Z472" s="84"/>
    </row>
    <row r="473" spans="5:26" ht="42" customHeight="1">
      <c r="E473" s="84"/>
      <c r="F473" s="84"/>
      <c r="Y473" s="84"/>
      <c r="Z473" s="84"/>
    </row>
    <row r="474" spans="5:26" ht="42" customHeight="1">
      <c r="E474" s="84"/>
      <c r="F474" s="84"/>
      <c r="Y474" s="84"/>
      <c r="Z474" s="84"/>
    </row>
    <row r="475" spans="5:26" ht="42" customHeight="1">
      <c r="E475" s="84"/>
      <c r="F475" s="84"/>
      <c r="Y475" s="84"/>
      <c r="Z475" s="84"/>
    </row>
    <row r="476" spans="5:26" ht="42" customHeight="1">
      <c r="E476" s="84"/>
      <c r="F476" s="84"/>
      <c r="Y476" s="84"/>
      <c r="Z476" s="84"/>
    </row>
    <row r="477" spans="5:26" ht="42" customHeight="1">
      <c r="E477" s="84"/>
      <c r="F477" s="84"/>
      <c r="Y477" s="84"/>
      <c r="Z477" s="84"/>
    </row>
    <row r="478" spans="5:26" ht="42" customHeight="1">
      <c r="E478" s="84"/>
      <c r="F478" s="84"/>
      <c r="Y478" s="84"/>
      <c r="Z478" s="84"/>
    </row>
    <row r="479" spans="5:26" ht="42" customHeight="1">
      <c r="E479" s="84"/>
      <c r="F479" s="84"/>
      <c r="Y479" s="84"/>
      <c r="Z479" s="84"/>
    </row>
    <row r="480" spans="5:26" ht="42" customHeight="1">
      <c r="E480" s="84"/>
      <c r="F480" s="84"/>
      <c r="Y480" s="84"/>
      <c r="Z480" s="84"/>
    </row>
    <row r="481" spans="5:26" ht="42" customHeight="1">
      <c r="E481" s="84"/>
      <c r="F481" s="84"/>
      <c r="Y481" s="84"/>
      <c r="Z481" s="84"/>
    </row>
    <row r="482" spans="5:26" ht="42" customHeight="1">
      <c r="E482" s="84"/>
      <c r="F482" s="84"/>
      <c r="Y482" s="84"/>
      <c r="Z482" s="84"/>
    </row>
    <row r="483" spans="5:26" ht="42" customHeight="1">
      <c r="E483" s="84"/>
      <c r="F483" s="84"/>
      <c r="Y483" s="84"/>
      <c r="Z483" s="84"/>
    </row>
    <row r="484" spans="5:26" ht="42" customHeight="1">
      <c r="E484" s="84"/>
      <c r="F484" s="84"/>
      <c r="Y484" s="84"/>
      <c r="Z484" s="84"/>
    </row>
    <row r="485" spans="5:26" ht="42" customHeight="1">
      <c r="E485" s="84"/>
      <c r="F485" s="84"/>
      <c r="Y485" s="84"/>
      <c r="Z485" s="84"/>
    </row>
    <row r="486" spans="5:26" ht="42" customHeight="1">
      <c r="E486" s="84"/>
      <c r="F486" s="84"/>
      <c r="Y486" s="84"/>
      <c r="Z486" s="84"/>
    </row>
    <row r="487" spans="5:26" ht="42" customHeight="1">
      <c r="E487" s="84"/>
      <c r="F487" s="84"/>
      <c r="Y487" s="84"/>
      <c r="Z487" s="84"/>
    </row>
    <row r="488" spans="5:26" ht="42" customHeight="1">
      <c r="E488" s="84"/>
      <c r="F488" s="84"/>
      <c r="Y488" s="84"/>
      <c r="Z488" s="84"/>
    </row>
    <row r="489" spans="5:26" ht="42" customHeight="1">
      <c r="E489" s="84"/>
      <c r="F489" s="84"/>
      <c r="Y489" s="84"/>
      <c r="Z489" s="84"/>
    </row>
    <row r="490" spans="5:26" ht="42" customHeight="1">
      <c r="E490" s="84"/>
      <c r="F490" s="84"/>
      <c r="Y490" s="84"/>
      <c r="Z490" s="84"/>
    </row>
    <row r="491" spans="5:26" ht="42" customHeight="1">
      <c r="E491" s="84"/>
      <c r="F491" s="84"/>
      <c r="Y491" s="84"/>
      <c r="Z491" s="84"/>
    </row>
    <row r="492" spans="5:26" ht="42" customHeight="1">
      <c r="E492" s="84"/>
      <c r="F492" s="84"/>
      <c r="Y492" s="84"/>
      <c r="Z492" s="84"/>
    </row>
    <row r="493" spans="5:26" ht="42" customHeight="1">
      <c r="E493" s="84"/>
      <c r="F493" s="84"/>
      <c r="Y493" s="84"/>
      <c r="Z493" s="84"/>
    </row>
    <row r="494" spans="5:26" ht="42" customHeight="1">
      <c r="E494" s="84"/>
      <c r="F494" s="84"/>
      <c r="Y494" s="84"/>
      <c r="Z494" s="84"/>
    </row>
    <row r="495" spans="5:26" ht="42" customHeight="1">
      <c r="E495" s="84"/>
      <c r="F495" s="84"/>
      <c r="Y495" s="84"/>
      <c r="Z495" s="84"/>
    </row>
    <row r="496" spans="5:26" ht="42" customHeight="1">
      <c r="E496" s="84"/>
      <c r="F496" s="84"/>
      <c r="Y496" s="84"/>
      <c r="Z496" s="84"/>
    </row>
    <row r="497" spans="5:26" ht="42" customHeight="1">
      <c r="E497" s="84"/>
      <c r="F497" s="84"/>
      <c r="Y497" s="84"/>
      <c r="Z497" s="84"/>
    </row>
    <row r="498" spans="5:26" ht="42" customHeight="1">
      <c r="E498" s="84"/>
      <c r="F498" s="84"/>
      <c r="Y498" s="84"/>
      <c r="Z498" s="84"/>
    </row>
    <row r="499" spans="5:26" ht="42" customHeight="1">
      <c r="E499" s="84"/>
      <c r="F499" s="84"/>
      <c r="Y499" s="84"/>
      <c r="Z499" s="84"/>
    </row>
    <row r="500" spans="5:26" ht="42" customHeight="1">
      <c r="E500" s="84"/>
      <c r="F500" s="84"/>
      <c r="Y500" s="84"/>
      <c r="Z500" s="84"/>
    </row>
    <row r="501" spans="5:26" ht="42" customHeight="1">
      <c r="E501" s="84"/>
      <c r="F501" s="84"/>
      <c r="Y501" s="84"/>
      <c r="Z501" s="84"/>
    </row>
    <row r="502" spans="5:26" ht="42" customHeight="1">
      <c r="E502" s="84"/>
      <c r="F502" s="84"/>
      <c r="Y502" s="84"/>
      <c r="Z502" s="84"/>
    </row>
    <row r="503" spans="5:26" ht="42" customHeight="1">
      <c r="E503" s="84"/>
      <c r="F503" s="84"/>
      <c r="Y503" s="84"/>
      <c r="Z503" s="84"/>
    </row>
    <row r="504" spans="5:26" ht="42" customHeight="1">
      <c r="E504" s="84"/>
      <c r="F504" s="84"/>
      <c r="Y504" s="84"/>
      <c r="Z504" s="84"/>
    </row>
    <row r="505" spans="5:26" ht="42" customHeight="1">
      <c r="E505" s="84"/>
      <c r="F505" s="84"/>
      <c r="Y505" s="84"/>
      <c r="Z505" s="84"/>
    </row>
    <row r="506" spans="5:26" ht="42" customHeight="1">
      <c r="E506" s="84"/>
      <c r="F506" s="84"/>
      <c r="Y506" s="84"/>
      <c r="Z506" s="84"/>
    </row>
    <row r="507" spans="5:26" ht="42" customHeight="1">
      <c r="E507" s="84"/>
      <c r="F507" s="84"/>
      <c r="Y507" s="84"/>
      <c r="Z507" s="84"/>
    </row>
    <row r="508" spans="5:26" ht="42" customHeight="1">
      <c r="E508" s="84"/>
      <c r="F508" s="84"/>
      <c r="Y508" s="84"/>
      <c r="Z508" s="84"/>
    </row>
    <row r="509" spans="5:26" ht="42" customHeight="1">
      <c r="E509" s="84"/>
      <c r="F509" s="84"/>
      <c r="Y509" s="84"/>
      <c r="Z509" s="84"/>
    </row>
    <row r="510" spans="5:26" ht="42" customHeight="1">
      <c r="E510" s="84"/>
      <c r="F510" s="84"/>
      <c r="Y510" s="84"/>
      <c r="Z510" s="84"/>
    </row>
    <row r="511" spans="5:26" ht="42" customHeight="1">
      <c r="E511" s="84"/>
      <c r="F511" s="84"/>
      <c r="Y511" s="84"/>
      <c r="Z511" s="84"/>
    </row>
    <row r="512" spans="5:26" ht="42" customHeight="1">
      <c r="E512" s="84"/>
      <c r="F512" s="84"/>
      <c r="Y512" s="84"/>
      <c r="Z512" s="84"/>
    </row>
    <row r="513" spans="5:26" ht="42" customHeight="1">
      <c r="E513" s="84"/>
      <c r="F513" s="84"/>
      <c r="Y513" s="84"/>
      <c r="Z513" s="84"/>
    </row>
    <row r="514" spans="5:26" ht="42" customHeight="1">
      <c r="E514" s="84"/>
      <c r="F514" s="84"/>
      <c r="Y514" s="84"/>
      <c r="Z514" s="84"/>
    </row>
    <row r="515" spans="5:26" ht="42" customHeight="1">
      <c r="E515" s="84"/>
      <c r="F515" s="84"/>
      <c r="Y515" s="84"/>
      <c r="Z515" s="84"/>
    </row>
    <row r="516" spans="5:26" ht="42" customHeight="1">
      <c r="E516" s="84"/>
      <c r="F516" s="84"/>
      <c r="Y516" s="84"/>
      <c r="Z516" s="84"/>
    </row>
    <row r="517" spans="5:26" ht="42" customHeight="1">
      <c r="E517" s="84"/>
      <c r="F517" s="84"/>
      <c r="Y517" s="84"/>
      <c r="Z517" s="84"/>
    </row>
    <row r="518" spans="5:26" ht="42" customHeight="1">
      <c r="E518" s="84"/>
      <c r="F518" s="84"/>
      <c r="Y518" s="84"/>
      <c r="Z518" s="84"/>
    </row>
    <row r="519" spans="5:26" ht="42" customHeight="1">
      <c r="E519" s="84"/>
      <c r="F519" s="84"/>
      <c r="Y519" s="84"/>
      <c r="Z519" s="84"/>
    </row>
    <row r="520" spans="5:26" ht="42" customHeight="1">
      <c r="E520" s="84"/>
      <c r="F520" s="84"/>
      <c r="Y520" s="84"/>
      <c r="Z520" s="84"/>
    </row>
    <row r="521" spans="5:26" ht="42" customHeight="1">
      <c r="E521" s="84"/>
      <c r="F521" s="84"/>
      <c r="Y521" s="84"/>
      <c r="Z521" s="84"/>
    </row>
    <row r="522" spans="5:26" ht="42" customHeight="1">
      <c r="E522" s="84"/>
      <c r="F522" s="84"/>
      <c r="Y522" s="84"/>
      <c r="Z522" s="84"/>
    </row>
    <row r="523" spans="5:26" ht="42" customHeight="1">
      <c r="E523" s="84"/>
      <c r="F523" s="84"/>
      <c r="Y523" s="84"/>
      <c r="Z523" s="84"/>
    </row>
    <row r="524" spans="5:26" ht="42" customHeight="1">
      <c r="E524" s="84"/>
      <c r="F524" s="84"/>
      <c r="Y524" s="84"/>
      <c r="Z524" s="84"/>
    </row>
    <row r="525" spans="5:26" ht="42" customHeight="1">
      <c r="E525" s="84"/>
      <c r="F525" s="84"/>
      <c r="Y525" s="84"/>
      <c r="Z525" s="84"/>
    </row>
    <row r="526" spans="5:26" ht="42" customHeight="1">
      <c r="E526" s="84"/>
      <c r="F526" s="84"/>
      <c r="Y526" s="84"/>
      <c r="Z526" s="84"/>
    </row>
    <row r="527" spans="5:26" ht="42" customHeight="1">
      <c r="E527" s="84"/>
      <c r="F527" s="84"/>
      <c r="Y527" s="84"/>
      <c r="Z527" s="84"/>
    </row>
    <row r="528" spans="5:26" ht="42" customHeight="1">
      <c r="E528" s="84"/>
      <c r="F528" s="84"/>
      <c r="Y528" s="84"/>
      <c r="Z528" s="84"/>
    </row>
    <row r="529" spans="5:26" ht="42" customHeight="1">
      <c r="E529" s="84"/>
      <c r="F529" s="84"/>
      <c r="Y529" s="84"/>
      <c r="Z529" s="84"/>
    </row>
    <row r="530" spans="5:26" ht="42" customHeight="1">
      <c r="E530" s="84"/>
      <c r="F530" s="84"/>
      <c r="Y530" s="84"/>
      <c r="Z530" s="84"/>
    </row>
    <row r="531" spans="5:26" ht="42" customHeight="1">
      <c r="E531" s="84"/>
      <c r="F531" s="84"/>
      <c r="Y531" s="84"/>
      <c r="Z531" s="84"/>
    </row>
    <row r="532" spans="5:26" ht="42" customHeight="1">
      <c r="E532" s="84"/>
      <c r="F532" s="84"/>
      <c r="Y532" s="84"/>
      <c r="Z532" s="84"/>
    </row>
    <row r="533" spans="5:26" ht="42" customHeight="1">
      <c r="E533" s="84"/>
      <c r="F533" s="84"/>
      <c r="Y533" s="84"/>
      <c r="Z533" s="84"/>
    </row>
    <row r="534" spans="5:26" ht="42" customHeight="1">
      <c r="E534" s="84"/>
      <c r="F534" s="84"/>
      <c r="Y534" s="84"/>
      <c r="Z534" s="84"/>
    </row>
    <row r="535" spans="5:26" ht="42" customHeight="1">
      <c r="E535" s="84"/>
      <c r="F535" s="84"/>
      <c r="Y535" s="84"/>
      <c r="Z535" s="84"/>
    </row>
    <row r="536" spans="5:26" ht="42" customHeight="1">
      <c r="E536" s="84"/>
      <c r="F536" s="84"/>
      <c r="Y536" s="84"/>
      <c r="Z536" s="84"/>
    </row>
    <row r="537" spans="5:26" ht="42" customHeight="1">
      <c r="E537" s="84"/>
      <c r="F537" s="84"/>
      <c r="Y537" s="84"/>
      <c r="Z537" s="84"/>
    </row>
    <row r="538" spans="5:26" ht="42" customHeight="1">
      <c r="E538" s="84"/>
      <c r="F538" s="84"/>
      <c r="Y538" s="84"/>
      <c r="Z538" s="84"/>
    </row>
    <row r="539" spans="5:26" ht="42" customHeight="1">
      <c r="E539" s="84"/>
      <c r="F539" s="84"/>
      <c r="Y539" s="84"/>
      <c r="Z539" s="84"/>
    </row>
    <row r="540" spans="5:26" ht="42" customHeight="1">
      <c r="E540" s="84"/>
      <c r="F540" s="84"/>
      <c r="Y540" s="84"/>
      <c r="Z540" s="84"/>
    </row>
    <row r="541" spans="5:26" ht="42" customHeight="1">
      <c r="E541" s="84"/>
      <c r="F541" s="84"/>
      <c r="Y541" s="84"/>
      <c r="Z541" s="84"/>
    </row>
    <row r="542" spans="5:26" ht="42" customHeight="1">
      <c r="E542" s="84"/>
      <c r="F542" s="84"/>
      <c r="Y542" s="84"/>
      <c r="Z542" s="84"/>
    </row>
    <row r="543" spans="5:26" ht="42" customHeight="1">
      <c r="E543" s="84"/>
      <c r="F543" s="84"/>
      <c r="Y543" s="84"/>
      <c r="Z543" s="84"/>
    </row>
    <row r="544" spans="5:26" ht="42" customHeight="1">
      <c r="E544" s="84"/>
      <c r="F544" s="84"/>
      <c r="Y544" s="84"/>
      <c r="Z544" s="84"/>
    </row>
    <row r="545" spans="5:26" ht="42" customHeight="1">
      <c r="E545" s="84"/>
      <c r="F545" s="84"/>
      <c r="Y545" s="84"/>
      <c r="Z545" s="84"/>
    </row>
    <row r="546" spans="5:26" ht="42" customHeight="1">
      <c r="E546" s="84"/>
      <c r="F546" s="84"/>
      <c r="Y546" s="84"/>
      <c r="Z546" s="84"/>
    </row>
    <row r="547" spans="5:26" ht="42" customHeight="1">
      <c r="E547" s="84"/>
      <c r="F547" s="84"/>
      <c r="Y547" s="84"/>
      <c r="Z547" s="84"/>
    </row>
    <row r="548" spans="5:26" ht="42" customHeight="1">
      <c r="E548" s="84"/>
      <c r="F548" s="84"/>
      <c r="Y548" s="84"/>
      <c r="Z548" s="84"/>
    </row>
    <row r="549" spans="5:26" ht="42" customHeight="1">
      <c r="E549" s="84"/>
      <c r="F549" s="84"/>
      <c r="Y549" s="84"/>
      <c r="Z549" s="84"/>
    </row>
    <row r="550" spans="5:26" ht="42" customHeight="1">
      <c r="E550" s="84"/>
      <c r="F550" s="84"/>
      <c r="Y550" s="84"/>
      <c r="Z550" s="84"/>
    </row>
    <row r="551" spans="5:26" ht="42" customHeight="1">
      <c r="E551" s="84"/>
      <c r="F551" s="84"/>
      <c r="Y551" s="84"/>
      <c r="Z551" s="84"/>
    </row>
    <row r="552" spans="5:26" ht="42" customHeight="1">
      <c r="E552" s="84"/>
      <c r="F552" s="84"/>
      <c r="Y552" s="84"/>
      <c r="Z552" s="84"/>
    </row>
    <row r="553" spans="5:26" ht="42" customHeight="1">
      <c r="E553" s="84"/>
      <c r="F553" s="84"/>
      <c r="Y553" s="84"/>
      <c r="Z553" s="84"/>
    </row>
    <row r="554" spans="5:26" ht="42" customHeight="1">
      <c r="E554" s="84"/>
      <c r="F554" s="84"/>
      <c r="Y554" s="84"/>
      <c r="Z554" s="84"/>
    </row>
    <row r="555" spans="5:26" ht="42" customHeight="1">
      <c r="E555" s="84"/>
      <c r="F555" s="84"/>
      <c r="Y555" s="84"/>
      <c r="Z555" s="84"/>
    </row>
    <row r="556" spans="5:26" ht="42" customHeight="1">
      <c r="E556" s="84"/>
      <c r="F556" s="84"/>
      <c r="Y556" s="84"/>
      <c r="Z556" s="84"/>
    </row>
    <row r="557" spans="5:26" ht="42" customHeight="1">
      <c r="E557" s="84"/>
      <c r="F557" s="84"/>
      <c r="Y557" s="84"/>
      <c r="Z557" s="84"/>
    </row>
    <row r="558" spans="5:26" ht="42" customHeight="1">
      <c r="E558" s="84"/>
      <c r="F558" s="84"/>
      <c r="Y558" s="84"/>
      <c r="Z558" s="84"/>
    </row>
    <row r="559" spans="5:26" ht="42" customHeight="1">
      <c r="E559" s="84"/>
      <c r="F559" s="84"/>
      <c r="Y559" s="84"/>
      <c r="Z559" s="84"/>
    </row>
    <row r="560" spans="5:26" ht="42" customHeight="1">
      <c r="E560" s="84"/>
      <c r="F560" s="84"/>
      <c r="Y560" s="84"/>
      <c r="Z560" s="84"/>
    </row>
    <row r="561" spans="5:26" ht="42" customHeight="1">
      <c r="E561" s="84"/>
      <c r="F561" s="84"/>
      <c r="Y561" s="84"/>
      <c r="Z561" s="84"/>
    </row>
    <row r="562" spans="5:26" ht="42" customHeight="1">
      <c r="E562" s="84"/>
      <c r="F562" s="84"/>
      <c r="Y562" s="84"/>
      <c r="Z562" s="84"/>
    </row>
    <row r="563" spans="5:26" ht="42" customHeight="1">
      <c r="E563" s="84"/>
      <c r="F563" s="84"/>
      <c r="Y563" s="84"/>
      <c r="Z563" s="84"/>
    </row>
    <row r="564" spans="5:26" ht="42" customHeight="1">
      <c r="E564" s="84"/>
      <c r="F564" s="84"/>
      <c r="Y564" s="84"/>
      <c r="Z564" s="84"/>
    </row>
    <row r="565" spans="5:26" ht="42" customHeight="1">
      <c r="E565" s="84"/>
      <c r="F565" s="84"/>
      <c r="Y565" s="84"/>
      <c r="Z565" s="84"/>
    </row>
    <row r="566" spans="5:26" ht="42" customHeight="1">
      <c r="E566" s="84"/>
      <c r="F566" s="84"/>
      <c r="Y566" s="84"/>
      <c r="Z566" s="84"/>
    </row>
    <row r="567" spans="5:26" ht="42" customHeight="1">
      <c r="E567" s="84"/>
      <c r="F567" s="84"/>
      <c r="Y567" s="84"/>
      <c r="Z567" s="84"/>
    </row>
    <row r="568" spans="5:26" ht="42" customHeight="1">
      <c r="E568" s="84"/>
      <c r="F568" s="84"/>
      <c r="Y568" s="84"/>
      <c r="Z568" s="84"/>
    </row>
    <row r="569" spans="5:26" ht="42" customHeight="1">
      <c r="E569" s="84"/>
      <c r="F569" s="84"/>
      <c r="Y569" s="84"/>
      <c r="Z569" s="84"/>
    </row>
    <row r="570" spans="5:26" ht="42" customHeight="1">
      <c r="E570" s="84"/>
      <c r="F570" s="84"/>
      <c r="Y570" s="84"/>
      <c r="Z570" s="84"/>
    </row>
    <row r="571" spans="5:26" ht="42" customHeight="1">
      <c r="E571" s="84"/>
      <c r="F571" s="84"/>
      <c r="Y571" s="84"/>
      <c r="Z571" s="84"/>
    </row>
    <row r="572" spans="5:26" ht="42" customHeight="1">
      <c r="E572" s="84"/>
      <c r="F572" s="84"/>
      <c r="Y572" s="84"/>
      <c r="Z572" s="84"/>
    </row>
    <row r="573" spans="5:26" ht="42" customHeight="1">
      <c r="E573" s="84"/>
      <c r="F573" s="84"/>
      <c r="Y573" s="84"/>
      <c r="Z573" s="84"/>
    </row>
    <row r="574" spans="5:26" ht="42" customHeight="1">
      <c r="E574" s="84"/>
      <c r="F574" s="84"/>
      <c r="Y574" s="84"/>
      <c r="Z574" s="84"/>
    </row>
    <row r="575" spans="5:26" ht="42" customHeight="1">
      <c r="E575" s="84"/>
      <c r="F575" s="84"/>
      <c r="Y575" s="84"/>
      <c r="Z575" s="84"/>
    </row>
    <row r="576" spans="5:26" ht="42" customHeight="1">
      <c r="E576" s="84"/>
      <c r="F576" s="84"/>
      <c r="Y576" s="84"/>
      <c r="Z576" s="84"/>
    </row>
    <row r="577" spans="5:26" ht="42" customHeight="1">
      <c r="E577" s="84"/>
      <c r="F577" s="84"/>
      <c r="Y577" s="84"/>
      <c r="Z577" s="84"/>
    </row>
    <row r="578" spans="5:26" ht="42" customHeight="1">
      <c r="E578" s="84"/>
      <c r="F578" s="84"/>
      <c r="Y578" s="84"/>
      <c r="Z578" s="84"/>
    </row>
    <row r="579" spans="5:26" ht="42" customHeight="1">
      <c r="E579" s="84"/>
      <c r="F579" s="84"/>
      <c r="Y579" s="84"/>
      <c r="Z579" s="84"/>
    </row>
    <row r="580" spans="5:26" ht="42" customHeight="1">
      <c r="E580" s="84"/>
      <c r="F580" s="84"/>
      <c r="Y580" s="84"/>
      <c r="Z580" s="84"/>
    </row>
    <row r="581" spans="5:26" ht="42" customHeight="1">
      <c r="E581" s="84"/>
      <c r="F581" s="84"/>
      <c r="Y581" s="84"/>
      <c r="Z581" s="84"/>
    </row>
    <row r="582" spans="5:26" ht="42" customHeight="1">
      <c r="E582" s="84"/>
      <c r="F582" s="84"/>
      <c r="Y582" s="84"/>
      <c r="Z582" s="84"/>
    </row>
    <row r="583" spans="5:26" ht="42" customHeight="1">
      <c r="E583" s="84"/>
      <c r="F583" s="84"/>
      <c r="Y583" s="84"/>
      <c r="Z583" s="84"/>
    </row>
    <row r="584" spans="5:26" ht="42" customHeight="1">
      <c r="E584" s="84"/>
      <c r="F584" s="84"/>
      <c r="Y584" s="84"/>
      <c r="Z584" s="84"/>
    </row>
    <row r="585" spans="5:26" ht="42" customHeight="1">
      <c r="E585" s="84"/>
      <c r="F585" s="84"/>
      <c r="Y585" s="84"/>
      <c r="Z585" s="84"/>
    </row>
    <row r="586" spans="5:26" ht="42" customHeight="1">
      <c r="E586" s="84"/>
      <c r="F586" s="84"/>
      <c r="Y586" s="84"/>
      <c r="Z586" s="84"/>
    </row>
    <row r="587" spans="5:26" ht="42" customHeight="1">
      <c r="E587" s="84"/>
      <c r="F587" s="84"/>
      <c r="Y587" s="84"/>
      <c r="Z587" s="84"/>
    </row>
    <row r="588" spans="5:26" ht="42" customHeight="1">
      <c r="E588" s="84"/>
      <c r="F588" s="84"/>
      <c r="Y588" s="84"/>
      <c r="Z588" s="84"/>
    </row>
    <row r="589" spans="5:26" ht="42" customHeight="1">
      <c r="E589" s="84"/>
      <c r="F589" s="84"/>
      <c r="Y589" s="84"/>
      <c r="Z589" s="84"/>
    </row>
    <row r="590" spans="5:26" ht="42" customHeight="1">
      <c r="E590" s="84"/>
      <c r="F590" s="84"/>
      <c r="Y590" s="84"/>
      <c r="Z590" s="84"/>
    </row>
    <row r="591" spans="5:26" ht="42" customHeight="1">
      <c r="E591" s="84"/>
      <c r="F591" s="84"/>
      <c r="Y591" s="84"/>
      <c r="Z591" s="84"/>
    </row>
    <row r="592" spans="5:26" ht="42" customHeight="1">
      <c r="E592" s="84"/>
      <c r="F592" s="84"/>
      <c r="Y592" s="84"/>
      <c r="Z592" s="84"/>
    </row>
    <row r="593" spans="5:26" ht="42" customHeight="1">
      <c r="E593" s="84"/>
      <c r="F593" s="84"/>
      <c r="Y593" s="84"/>
      <c r="Z593" s="84"/>
    </row>
    <row r="594" spans="5:26" ht="42" customHeight="1">
      <c r="E594" s="84"/>
      <c r="F594" s="84"/>
      <c r="Y594" s="84"/>
      <c r="Z594" s="84"/>
    </row>
    <row r="595" spans="5:26" ht="42" customHeight="1">
      <c r="E595" s="84"/>
      <c r="F595" s="84"/>
      <c r="Y595" s="84"/>
      <c r="Z595" s="84"/>
    </row>
    <row r="596" spans="5:26" ht="42" customHeight="1">
      <c r="E596" s="84"/>
      <c r="F596" s="84"/>
      <c r="Y596" s="84"/>
      <c r="Z596" s="84"/>
    </row>
    <row r="597" spans="5:26" ht="42" customHeight="1">
      <c r="E597" s="84"/>
      <c r="F597" s="84"/>
      <c r="Y597" s="84"/>
      <c r="Z597" s="84"/>
    </row>
    <row r="598" spans="5:26" ht="42" customHeight="1">
      <c r="E598" s="84"/>
      <c r="F598" s="84"/>
      <c r="Y598" s="84"/>
      <c r="Z598" s="84"/>
    </row>
    <row r="599" spans="5:26" ht="42" customHeight="1">
      <c r="E599" s="84"/>
      <c r="F599" s="84"/>
      <c r="Y599" s="84"/>
      <c r="Z599" s="84"/>
    </row>
    <row r="600" spans="5:26" ht="42" customHeight="1">
      <c r="E600" s="84"/>
      <c r="F600" s="84"/>
      <c r="Y600" s="84"/>
      <c r="Z600" s="84"/>
    </row>
    <row r="601" spans="5:26" ht="42" customHeight="1">
      <c r="E601" s="84"/>
      <c r="F601" s="84"/>
      <c r="Y601" s="84"/>
      <c r="Z601" s="84"/>
    </row>
    <row r="602" spans="5:26" ht="42" customHeight="1">
      <c r="E602" s="84"/>
      <c r="F602" s="84"/>
      <c r="Y602" s="84"/>
      <c r="Z602" s="84"/>
    </row>
    <row r="603" spans="5:26" ht="42" customHeight="1">
      <c r="E603" s="84"/>
      <c r="F603" s="84"/>
      <c r="Y603" s="84"/>
      <c r="Z603" s="84"/>
    </row>
    <row r="604" spans="5:26" ht="42" customHeight="1">
      <c r="E604" s="84"/>
      <c r="F604" s="84"/>
      <c r="Y604" s="84"/>
      <c r="Z604" s="84"/>
    </row>
    <row r="605" spans="5:26" ht="42" customHeight="1">
      <c r="E605" s="84"/>
      <c r="F605" s="84"/>
      <c r="Y605" s="84"/>
      <c r="Z605" s="84"/>
    </row>
    <row r="606" spans="5:26" ht="42" customHeight="1">
      <c r="E606" s="84"/>
      <c r="F606" s="84"/>
      <c r="Y606" s="84"/>
      <c r="Z606" s="84"/>
    </row>
    <row r="607" spans="5:26" ht="42" customHeight="1">
      <c r="E607" s="84"/>
      <c r="F607" s="84"/>
      <c r="Y607" s="84"/>
      <c r="Z607" s="84"/>
    </row>
    <row r="608" spans="5:26" ht="42" customHeight="1">
      <c r="E608" s="84"/>
      <c r="F608" s="84"/>
      <c r="Y608" s="84"/>
      <c r="Z608" s="84"/>
    </row>
    <row r="609" spans="5:26" ht="42" customHeight="1">
      <c r="E609" s="84"/>
      <c r="F609" s="84"/>
      <c r="Y609" s="84"/>
      <c r="Z609" s="84"/>
    </row>
    <row r="610" spans="5:26" ht="42" customHeight="1">
      <c r="E610" s="84"/>
      <c r="F610" s="84"/>
      <c r="Y610" s="84"/>
      <c r="Z610" s="84"/>
    </row>
    <row r="611" spans="5:26" ht="42" customHeight="1">
      <c r="E611" s="84"/>
      <c r="F611" s="84"/>
      <c r="Y611" s="84"/>
      <c r="Z611" s="84"/>
    </row>
    <row r="612" spans="5:26" ht="42" customHeight="1">
      <c r="E612" s="84"/>
      <c r="F612" s="84"/>
      <c r="Y612" s="84"/>
      <c r="Z612" s="84"/>
    </row>
    <row r="613" spans="5:26" ht="42" customHeight="1">
      <c r="E613" s="84"/>
      <c r="F613" s="84"/>
      <c r="Y613" s="84"/>
      <c r="Z613" s="84"/>
    </row>
    <row r="614" spans="5:26" ht="42" customHeight="1">
      <c r="E614" s="84"/>
      <c r="F614" s="84"/>
      <c r="Y614" s="84"/>
      <c r="Z614" s="84"/>
    </row>
    <row r="615" spans="5:26" ht="42" customHeight="1">
      <c r="E615" s="84"/>
      <c r="F615" s="84"/>
      <c r="Y615" s="84"/>
      <c r="Z615" s="84"/>
    </row>
    <row r="616" spans="5:26" ht="42" customHeight="1">
      <c r="E616" s="84"/>
      <c r="F616" s="84"/>
      <c r="Y616" s="84"/>
      <c r="Z616" s="84"/>
    </row>
    <row r="617" spans="5:26" ht="42" customHeight="1">
      <c r="E617" s="84"/>
      <c r="F617" s="84"/>
      <c r="Y617" s="84"/>
      <c r="Z617" s="84"/>
    </row>
    <row r="618" spans="5:26" ht="42" customHeight="1">
      <c r="E618" s="84"/>
      <c r="F618" s="84"/>
      <c r="Y618" s="84"/>
      <c r="Z618" s="84"/>
    </row>
    <row r="619" spans="5:26" ht="42" customHeight="1">
      <c r="E619" s="84"/>
      <c r="F619" s="84"/>
      <c r="Y619" s="84"/>
      <c r="Z619" s="84"/>
    </row>
    <row r="620" spans="5:26" ht="42" customHeight="1">
      <c r="E620" s="84"/>
      <c r="F620" s="84"/>
      <c r="Y620" s="84"/>
      <c r="Z620" s="84"/>
    </row>
    <row r="621" spans="5:26" ht="42" customHeight="1">
      <c r="E621" s="84"/>
      <c r="F621" s="84"/>
      <c r="Y621" s="84"/>
      <c r="Z621" s="84"/>
    </row>
    <row r="622" spans="5:26" ht="42" customHeight="1">
      <c r="E622" s="84"/>
      <c r="F622" s="84"/>
      <c r="Y622" s="84"/>
      <c r="Z622" s="84"/>
    </row>
    <row r="623" spans="5:26" ht="42" customHeight="1">
      <c r="E623" s="84"/>
      <c r="F623" s="84"/>
      <c r="Y623" s="84"/>
      <c r="Z623" s="84"/>
    </row>
    <row r="624" spans="5:26" ht="42" customHeight="1">
      <c r="E624" s="84"/>
      <c r="F624" s="84"/>
      <c r="Y624" s="84"/>
      <c r="Z624" s="84"/>
    </row>
    <row r="625" spans="5:26" ht="42" customHeight="1">
      <c r="E625" s="84"/>
      <c r="F625" s="84"/>
      <c r="Y625" s="84"/>
      <c r="Z625" s="84"/>
    </row>
    <row r="626" spans="5:26" ht="42" customHeight="1">
      <c r="E626" s="84"/>
      <c r="F626" s="84"/>
      <c r="Y626" s="84"/>
      <c r="Z626" s="84"/>
    </row>
    <row r="627" spans="5:26" ht="42" customHeight="1">
      <c r="E627" s="84"/>
      <c r="F627" s="84"/>
      <c r="Y627" s="84"/>
      <c r="Z627" s="84"/>
    </row>
    <row r="628" spans="5:26" ht="42" customHeight="1">
      <c r="E628" s="84"/>
      <c r="F628" s="84"/>
      <c r="Y628" s="84"/>
      <c r="Z628" s="84"/>
    </row>
    <row r="629" spans="5:26" ht="42" customHeight="1">
      <c r="E629" s="84"/>
      <c r="F629" s="84"/>
      <c r="Y629" s="84"/>
      <c r="Z629" s="84"/>
    </row>
    <row r="630" spans="5:26" ht="42" customHeight="1">
      <c r="E630" s="84"/>
      <c r="F630" s="84"/>
      <c r="Y630" s="84"/>
      <c r="Z630" s="84"/>
    </row>
    <row r="631" spans="5:26" ht="42" customHeight="1">
      <c r="E631" s="84"/>
      <c r="F631" s="84"/>
      <c r="Y631" s="84"/>
      <c r="Z631" s="84"/>
    </row>
    <row r="632" spans="5:26" ht="42" customHeight="1">
      <c r="E632" s="84"/>
      <c r="F632" s="84"/>
      <c r="Y632" s="84"/>
      <c r="Z632" s="84"/>
    </row>
    <row r="633" spans="5:26" ht="42" customHeight="1">
      <c r="E633" s="84"/>
      <c r="F633" s="84"/>
      <c r="Y633" s="84"/>
      <c r="Z633" s="84"/>
    </row>
    <row r="634" spans="5:26" ht="42" customHeight="1">
      <c r="E634" s="84"/>
      <c r="F634" s="84"/>
      <c r="Y634" s="84"/>
      <c r="Z634" s="84"/>
    </row>
    <row r="635" spans="5:26" ht="42" customHeight="1">
      <c r="E635" s="84"/>
      <c r="F635" s="84"/>
      <c r="Y635" s="84"/>
      <c r="Z635" s="84"/>
    </row>
    <row r="636" spans="5:26" ht="42" customHeight="1">
      <c r="E636" s="84"/>
      <c r="F636" s="84"/>
      <c r="Y636" s="84"/>
      <c r="Z636" s="84"/>
    </row>
    <row r="637" spans="5:26" ht="42" customHeight="1">
      <c r="E637" s="84"/>
      <c r="F637" s="84"/>
      <c r="Y637" s="84"/>
      <c r="Z637" s="84"/>
    </row>
    <row r="638" spans="5:26" ht="42" customHeight="1">
      <c r="E638" s="84"/>
      <c r="F638" s="84"/>
      <c r="Y638" s="84"/>
      <c r="Z638" s="84"/>
    </row>
    <row r="639" spans="5:26" ht="42" customHeight="1">
      <c r="E639" s="84"/>
      <c r="F639" s="84"/>
      <c r="Y639" s="84"/>
      <c r="Z639" s="84"/>
    </row>
    <row r="640" spans="5:26" ht="42" customHeight="1">
      <c r="E640" s="84"/>
      <c r="F640" s="84"/>
      <c r="Y640" s="84"/>
      <c r="Z640" s="84"/>
    </row>
    <row r="641" spans="5:26" ht="42" customHeight="1">
      <c r="E641" s="84"/>
      <c r="F641" s="84"/>
      <c r="Y641" s="84"/>
      <c r="Z641" s="84"/>
    </row>
    <row r="642" spans="5:26" ht="42" customHeight="1">
      <c r="E642" s="84"/>
      <c r="F642" s="84"/>
      <c r="Y642" s="84"/>
      <c r="Z642" s="84"/>
    </row>
    <row r="643" spans="5:26" ht="42" customHeight="1">
      <c r="E643" s="84"/>
      <c r="F643" s="84"/>
      <c r="Y643" s="84"/>
      <c r="Z643" s="84"/>
    </row>
    <row r="644" spans="5:26" ht="42" customHeight="1">
      <c r="E644" s="84"/>
      <c r="F644" s="84"/>
      <c r="Y644" s="84"/>
      <c r="Z644" s="84"/>
    </row>
    <row r="645" spans="5:26" ht="42" customHeight="1">
      <c r="E645" s="84"/>
      <c r="F645" s="84"/>
      <c r="Y645" s="84"/>
      <c r="Z645" s="84"/>
    </row>
    <row r="646" spans="5:26" ht="42" customHeight="1">
      <c r="E646" s="84"/>
      <c r="F646" s="84"/>
      <c r="Y646" s="84"/>
      <c r="Z646" s="84"/>
    </row>
    <row r="647" spans="5:26" ht="42" customHeight="1">
      <c r="E647" s="84"/>
      <c r="F647" s="84"/>
      <c r="Y647" s="84"/>
      <c r="Z647" s="84"/>
    </row>
    <row r="648" spans="5:26" ht="42" customHeight="1">
      <c r="E648" s="84"/>
      <c r="F648" s="84"/>
      <c r="Y648" s="84"/>
      <c r="Z648" s="84"/>
    </row>
    <row r="649" spans="5:26" ht="42" customHeight="1">
      <c r="E649" s="84"/>
      <c r="F649" s="84"/>
      <c r="Y649" s="84"/>
      <c r="Z649" s="84"/>
    </row>
    <row r="650" spans="5:26" ht="42" customHeight="1">
      <c r="E650" s="84"/>
      <c r="F650" s="84"/>
      <c r="Y650" s="84"/>
      <c r="Z650" s="84"/>
    </row>
    <row r="651" spans="5:26" ht="42" customHeight="1">
      <c r="E651" s="84"/>
      <c r="F651" s="84"/>
      <c r="Y651" s="84"/>
      <c r="Z651" s="84"/>
    </row>
    <row r="652" spans="5:26" ht="42" customHeight="1">
      <c r="E652" s="84"/>
      <c r="F652" s="84"/>
      <c r="Y652" s="84"/>
      <c r="Z652" s="84"/>
    </row>
    <row r="653" spans="5:26" ht="42" customHeight="1">
      <c r="E653" s="84"/>
      <c r="F653" s="84"/>
      <c r="Y653" s="84"/>
      <c r="Z653" s="84"/>
    </row>
    <row r="654" spans="5:26" ht="42" customHeight="1">
      <c r="E654" s="84"/>
      <c r="F654" s="84"/>
      <c r="Y654" s="84"/>
      <c r="Z654" s="84"/>
    </row>
    <row r="655" spans="5:26" ht="42" customHeight="1">
      <c r="E655" s="84"/>
      <c r="F655" s="84"/>
      <c r="Y655" s="84"/>
      <c r="Z655" s="84"/>
    </row>
    <row r="656" spans="5:26" ht="42" customHeight="1">
      <c r="E656" s="84"/>
      <c r="F656" s="84"/>
      <c r="Y656" s="84"/>
      <c r="Z656" s="84"/>
    </row>
    <row r="657" spans="5:26" ht="42" customHeight="1">
      <c r="E657" s="84"/>
      <c r="F657" s="84"/>
      <c r="Y657" s="84"/>
      <c r="Z657" s="84"/>
    </row>
    <row r="658" spans="5:26" ht="42" customHeight="1">
      <c r="E658" s="84"/>
      <c r="F658" s="84"/>
      <c r="Y658" s="84"/>
      <c r="Z658" s="84"/>
    </row>
    <row r="659" spans="5:26" ht="42" customHeight="1">
      <c r="E659" s="84"/>
      <c r="F659" s="84"/>
      <c r="Y659" s="84"/>
      <c r="Z659" s="84"/>
    </row>
    <row r="660" spans="5:26" ht="42" customHeight="1">
      <c r="E660" s="84"/>
      <c r="F660" s="84"/>
      <c r="Y660" s="84"/>
      <c r="Z660" s="84"/>
    </row>
    <row r="661" spans="5:26" ht="42" customHeight="1">
      <c r="E661" s="84"/>
      <c r="F661" s="84"/>
      <c r="Y661" s="84"/>
      <c r="Z661" s="84"/>
    </row>
    <row r="662" spans="5:26" ht="42" customHeight="1">
      <c r="E662" s="84"/>
      <c r="F662" s="84"/>
      <c r="Y662" s="84"/>
      <c r="Z662" s="84"/>
    </row>
    <row r="663" spans="5:26" ht="42" customHeight="1">
      <c r="E663" s="84"/>
      <c r="F663" s="84"/>
      <c r="Y663" s="84"/>
      <c r="Z663" s="84"/>
    </row>
    <row r="664" spans="5:26" ht="42" customHeight="1">
      <c r="E664" s="84"/>
      <c r="F664" s="84"/>
      <c r="Y664" s="84"/>
      <c r="Z664" s="84"/>
    </row>
    <row r="665" spans="5:26" ht="42" customHeight="1">
      <c r="E665" s="84"/>
      <c r="F665" s="84"/>
      <c r="Y665" s="84"/>
      <c r="Z665" s="84"/>
    </row>
    <row r="666" spans="5:26" ht="42" customHeight="1">
      <c r="E666" s="84"/>
      <c r="F666" s="84"/>
      <c r="Y666" s="84"/>
      <c r="Z666" s="84"/>
    </row>
    <row r="667" spans="5:26" ht="42" customHeight="1">
      <c r="E667" s="84"/>
      <c r="F667" s="84"/>
      <c r="Y667" s="84"/>
      <c r="Z667" s="84"/>
    </row>
    <row r="668" spans="5:26" ht="42" customHeight="1">
      <c r="E668" s="84"/>
      <c r="F668" s="84"/>
      <c r="Y668" s="84"/>
      <c r="Z668" s="84"/>
    </row>
    <row r="669" spans="5:26" ht="42" customHeight="1">
      <c r="E669" s="84"/>
      <c r="F669" s="84"/>
      <c r="Y669" s="84"/>
      <c r="Z669" s="84"/>
    </row>
    <row r="670" spans="5:26" ht="42" customHeight="1">
      <c r="E670" s="84"/>
      <c r="F670" s="84"/>
      <c r="Y670" s="84"/>
      <c r="Z670" s="84"/>
    </row>
    <row r="671" spans="5:26" ht="42" customHeight="1">
      <c r="E671" s="84"/>
      <c r="F671" s="84"/>
      <c r="Y671" s="84"/>
      <c r="Z671" s="84"/>
    </row>
    <row r="672" spans="5:26" ht="42" customHeight="1">
      <c r="E672" s="84"/>
      <c r="F672" s="84"/>
      <c r="Y672" s="84"/>
      <c r="Z672" s="84"/>
    </row>
    <row r="673" spans="5:26" ht="42" customHeight="1">
      <c r="E673" s="84"/>
      <c r="F673" s="84"/>
      <c r="Y673" s="84"/>
      <c r="Z673" s="84"/>
    </row>
    <row r="674" spans="5:26" ht="42" customHeight="1">
      <c r="E674" s="84"/>
      <c r="F674" s="84"/>
      <c r="Y674" s="84"/>
      <c r="Z674" s="84"/>
    </row>
    <row r="675" spans="5:26" ht="42" customHeight="1">
      <c r="E675" s="84"/>
      <c r="F675" s="84"/>
      <c r="Y675" s="84"/>
      <c r="Z675" s="84"/>
    </row>
    <row r="676" spans="5:26" ht="42" customHeight="1">
      <c r="E676" s="84"/>
      <c r="F676" s="84"/>
      <c r="Y676" s="84"/>
      <c r="Z676" s="84"/>
    </row>
    <row r="677" spans="5:26" ht="42" customHeight="1">
      <c r="E677" s="84"/>
      <c r="F677" s="84"/>
      <c r="Y677" s="84"/>
      <c r="Z677" s="84"/>
    </row>
    <row r="678" spans="5:26" ht="42" customHeight="1">
      <c r="E678" s="84"/>
      <c r="F678" s="84"/>
      <c r="Y678" s="84"/>
      <c r="Z678" s="84"/>
    </row>
    <row r="679" spans="5:26" ht="42" customHeight="1">
      <c r="E679" s="84"/>
      <c r="F679" s="84"/>
      <c r="Y679" s="84"/>
      <c r="Z679" s="84"/>
    </row>
    <row r="680" spans="5:26" ht="42" customHeight="1">
      <c r="E680" s="84"/>
      <c r="F680" s="84"/>
      <c r="Y680" s="84"/>
      <c r="Z680" s="84"/>
    </row>
    <row r="681" spans="5:26" ht="42" customHeight="1">
      <c r="E681" s="84"/>
      <c r="F681" s="84"/>
      <c r="Y681" s="84"/>
      <c r="Z681" s="84"/>
    </row>
    <row r="682" spans="5:26" ht="42" customHeight="1">
      <c r="E682" s="84"/>
      <c r="F682" s="84"/>
      <c r="Y682" s="84"/>
      <c r="Z682" s="84"/>
    </row>
    <row r="683" spans="5:26" ht="42" customHeight="1">
      <c r="E683" s="84"/>
      <c r="F683" s="84"/>
      <c r="Y683" s="84"/>
      <c r="Z683" s="84"/>
    </row>
    <row r="684" spans="5:26" ht="42" customHeight="1">
      <c r="E684" s="84"/>
      <c r="F684" s="84"/>
      <c r="Y684" s="84"/>
      <c r="Z684" s="84"/>
    </row>
    <row r="685" spans="5:26" ht="42" customHeight="1">
      <c r="E685" s="84"/>
      <c r="F685" s="84"/>
      <c r="Y685" s="84"/>
      <c r="Z685" s="84"/>
    </row>
    <row r="686" spans="5:26" ht="42" customHeight="1">
      <c r="E686" s="84"/>
      <c r="F686" s="84"/>
      <c r="Y686" s="84"/>
      <c r="Z686" s="84"/>
    </row>
    <row r="687" spans="5:26" ht="42" customHeight="1">
      <c r="E687" s="84"/>
      <c r="F687" s="84"/>
      <c r="Y687" s="84"/>
      <c r="Z687" s="84"/>
    </row>
    <row r="688" spans="5:26" ht="42" customHeight="1">
      <c r="E688" s="84"/>
      <c r="F688" s="84"/>
      <c r="Y688" s="84"/>
      <c r="Z688" s="84"/>
    </row>
    <row r="689" spans="5:26" ht="42" customHeight="1">
      <c r="E689" s="84"/>
      <c r="F689" s="84"/>
      <c r="Y689" s="84"/>
      <c r="Z689" s="84"/>
    </row>
    <row r="690" spans="5:26" ht="42" customHeight="1">
      <c r="E690" s="84"/>
      <c r="F690" s="84"/>
      <c r="Y690" s="84"/>
      <c r="Z690" s="84"/>
    </row>
    <row r="691" spans="5:26" ht="42" customHeight="1">
      <c r="E691" s="84"/>
      <c r="F691" s="84"/>
      <c r="Y691" s="84"/>
      <c r="Z691" s="84"/>
    </row>
    <row r="692" spans="5:26" ht="42" customHeight="1">
      <c r="E692" s="84"/>
      <c r="F692" s="84"/>
      <c r="Y692" s="84"/>
      <c r="Z692" s="84"/>
    </row>
    <row r="693" spans="5:26" ht="42" customHeight="1">
      <c r="E693" s="84"/>
      <c r="F693" s="84"/>
      <c r="Y693" s="84"/>
      <c r="Z693" s="84"/>
    </row>
    <row r="694" spans="5:26" ht="42" customHeight="1">
      <c r="E694" s="84"/>
      <c r="F694" s="84"/>
      <c r="Y694" s="84"/>
      <c r="Z694" s="84"/>
    </row>
    <row r="695" spans="5:26" ht="42" customHeight="1">
      <c r="E695" s="84"/>
      <c r="F695" s="84"/>
      <c r="Y695" s="84"/>
      <c r="Z695" s="84"/>
    </row>
    <row r="696" spans="5:26" ht="42" customHeight="1">
      <c r="E696" s="84"/>
      <c r="F696" s="84"/>
      <c r="Y696" s="84"/>
      <c r="Z696" s="84"/>
    </row>
    <row r="697" spans="5:26" ht="42" customHeight="1">
      <c r="E697" s="84"/>
      <c r="F697" s="84"/>
      <c r="Y697" s="84"/>
      <c r="Z697" s="84"/>
    </row>
    <row r="698" spans="5:26" ht="42" customHeight="1">
      <c r="E698" s="84"/>
      <c r="F698" s="84"/>
      <c r="Y698" s="84"/>
      <c r="Z698" s="84"/>
    </row>
    <row r="699" spans="5:26" ht="42" customHeight="1">
      <c r="E699" s="84"/>
      <c r="F699" s="84"/>
      <c r="Y699" s="84"/>
      <c r="Z699" s="84"/>
    </row>
    <row r="700" spans="5:26" ht="42" customHeight="1">
      <c r="E700" s="84"/>
      <c r="F700" s="84"/>
      <c r="Y700" s="84"/>
      <c r="Z700" s="84"/>
    </row>
    <row r="701" spans="5:26" ht="42" customHeight="1">
      <c r="E701" s="84"/>
      <c r="F701" s="84"/>
      <c r="Y701" s="84"/>
      <c r="Z701" s="84"/>
    </row>
    <row r="702" spans="5:26" ht="42" customHeight="1">
      <c r="E702" s="84"/>
      <c r="F702" s="84"/>
      <c r="Y702" s="84"/>
      <c r="Z702" s="84"/>
    </row>
    <row r="703" spans="5:26" ht="42" customHeight="1">
      <c r="E703" s="84"/>
      <c r="F703" s="84"/>
      <c r="Y703" s="84"/>
      <c r="Z703" s="84"/>
    </row>
    <row r="704" spans="5:26" ht="42" customHeight="1">
      <c r="E704" s="84"/>
      <c r="F704" s="84"/>
      <c r="Y704" s="84"/>
      <c r="Z704" s="84"/>
    </row>
    <row r="705" spans="5:26" ht="42" customHeight="1">
      <c r="E705" s="84"/>
      <c r="F705" s="84"/>
      <c r="Y705" s="84"/>
      <c r="Z705" s="84"/>
    </row>
    <row r="706" spans="5:26" ht="42" customHeight="1">
      <c r="E706" s="84"/>
      <c r="F706" s="84"/>
      <c r="Y706" s="84"/>
      <c r="Z706" s="84"/>
    </row>
    <row r="707" spans="5:26" ht="42" customHeight="1">
      <c r="E707" s="84"/>
      <c r="F707" s="84"/>
      <c r="Y707" s="84"/>
      <c r="Z707" s="84"/>
    </row>
    <row r="708" spans="5:26" ht="42" customHeight="1">
      <c r="E708" s="84"/>
      <c r="F708" s="84"/>
      <c r="Y708" s="84"/>
      <c r="Z708" s="84"/>
    </row>
    <row r="709" spans="5:26" ht="42" customHeight="1">
      <c r="E709" s="84"/>
      <c r="F709" s="84"/>
      <c r="Y709" s="84"/>
      <c r="Z709" s="84"/>
    </row>
    <row r="710" spans="5:26" ht="42" customHeight="1">
      <c r="E710" s="84"/>
      <c r="F710" s="84"/>
      <c r="Y710" s="84"/>
      <c r="Z710" s="84"/>
    </row>
    <row r="711" spans="5:26" ht="42" customHeight="1">
      <c r="E711" s="84"/>
      <c r="F711" s="84"/>
      <c r="Y711" s="84"/>
      <c r="Z711" s="84"/>
    </row>
    <row r="712" spans="5:26" ht="42" customHeight="1">
      <c r="E712" s="84"/>
      <c r="F712" s="84"/>
      <c r="Y712" s="84"/>
      <c r="Z712" s="84"/>
    </row>
    <row r="713" spans="5:26" ht="42" customHeight="1">
      <c r="E713" s="84"/>
      <c r="F713" s="84"/>
      <c r="Y713" s="84"/>
      <c r="Z713" s="84"/>
    </row>
    <row r="714" spans="5:26" ht="42" customHeight="1">
      <c r="E714" s="84"/>
      <c r="F714" s="84"/>
      <c r="Y714" s="84"/>
      <c r="Z714" s="84"/>
    </row>
    <row r="715" spans="5:26" ht="42" customHeight="1">
      <c r="E715" s="84"/>
      <c r="F715" s="84"/>
      <c r="Y715" s="84"/>
      <c r="Z715" s="84"/>
    </row>
    <row r="716" spans="5:26" ht="42" customHeight="1">
      <c r="E716" s="84"/>
      <c r="F716" s="84"/>
      <c r="Y716" s="84"/>
      <c r="Z716" s="84"/>
    </row>
    <row r="717" spans="5:26" ht="42" customHeight="1">
      <c r="E717" s="84"/>
      <c r="F717" s="84"/>
      <c r="Y717" s="84"/>
      <c r="Z717" s="84"/>
    </row>
    <row r="718" spans="5:26" ht="42" customHeight="1">
      <c r="E718" s="84"/>
      <c r="F718" s="84"/>
      <c r="Y718" s="84"/>
      <c r="Z718" s="84"/>
    </row>
    <row r="719" spans="5:26" ht="42" customHeight="1">
      <c r="E719" s="84"/>
      <c r="F719" s="84"/>
      <c r="Y719" s="84"/>
      <c r="Z719" s="84"/>
    </row>
    <row r="720" spans="5:26" ht="42" customHeight="1">
      <c r="E720" s="84"/>
      <c r="F720" s="84"/>
      <c r="Y720" s="84"/>
      <c r="Z720" s="84"/>
    </row>
    <row r="721" spans="5:26" ht="42" customHeight="1">
      <c r="E721" s="84"/>
      <c r="F721" s="84"/>
      <c r="Y721" s="84"/>
      <c r="Z721" s="84"/>
    </row>
    <row r="722" spans="5:26" ht="42" customHeight="1">
      <c r="E722" s="84"/>
      <c r="F722" s="84"/>
      <c r="Y722" s="84"/>
      <c r="Z722" s="84"/>
    </row>
    <row r="723" spans="5:26" ht="42" customHeight="1">
      <c r="E723" s="84"/>
      <c r="F723" s="84"/>
      <c r="Y723" s="84"/>
      <c r="Z723" s="84"/>
    </row>
    <row r="724" spans="5:26" ht="42" customHeight="1">
      <c r="E724" s="84"/>
      <c r="F724" s="84"/>
      <c r="Y724" s="84"/>
      <c r="Z724" s="84"/>
    </row>
    <row r="725" spans="5:26" ht="42" customHeight="1">
      <c r="E725" s="84"/>
      <c r="F725" s="84"/>
      <c r="Y725" s="84"/>
      <c r="Z725" s="84"/>
    </row>
    <row r="726" spans="5:26" ht="42" customHeight="1">
      <c r="E726" s="84"/>
      <c r="F726" s="84"/>
      <c r="Y726" s="84"/>
      <c r="Z726" s="84"/>
    </row>
    <row r="727" spans="5:26" ht="42" customHeight="1">
      <c r="E727" s="84"/>
      <c r="F727" s="84"/>
      <c r="Y727" s="84"/>
      <c r="Z727" s="84"/>
    </row>
    <row r="728" spans="5:26" ht="42" customHeight="1">
      <c r="E728" s="84"/>
      <c r="F728" s="84"/>
      <c r="Y728" s="84"/>
      <c r="Z728" s="84"/>
    </row>
    <row r="729" spans="5:26" ht="42" customHeight="1">
      <c r="E729" s="84"/>
      <c r="F729" s="84"/>
      <c r="Y729" s="84"/>
      <c r="Z729" s="84"/>
    </row>
    <row r="730" spans="5:26" ht="42" customHeight="1">
      <c r="E730" s="84"/>
      <c r="F730" s="84"/>
      <c r="Y730" s="84"/>
      <c r="Z730" s="84"/>
    </row>
    <row r="731" spans="5:26" ht="42" customHeight="1">
      <c r="E731" s="84"/>
      <c r="F731" s="84"/>
      <c r="Y731" s="84"/>
      <c r="Z731" s="84"/>
    </row>
    <row r="732" spans="5:26" ht="42" customHeight="1">
      <c r="E732" s="84"/>
      <c r="F732" s="84"/>
      <c r="Y732" s="84"/>
      <c r="Z732" s="84"/>
    </row>
    <row r="733" spans="5:26" ht="42" customHeight="1">
      <c r="E733" s="84"/>
      <c r="F733" s="84"/>
      <c r="Y733" s="84"/>
      <c r="Z733" s="84"/>
    </row>
    <row r="734" spans="5:26" ht="42" customHeight="1">
      <c r="E734" s="84"/>
      <c r="F734" s="84"/>
      <c r="Y734" s="84"/>
      <c r="Z734" s="84"/>
    </row>
    <row r="735" spans="5:26" ht="42" customHeight="1">
      <c r="E735" s="84"/>
      <c r="F735" s="84"/>
      <c r="Y735" s="84"/>
      <c r="Z735" s="84"/>
    </row>
    <row r="736" spans="5:26" ht="42" customHeight="1">
      <c r="E736" s="84"/>
      <c r="F736" s="84"/>
      <c r="Y736" s="84"/>
      <c r="Z736" s="84"/>
    </row>
    <row r="737" spans="5:26" ht="42" customHeight="1">
      <c r="E737" s="84"/>
      <c r="F737" s="84"/>
      <c r="Y737" s="84"/>
      <c r="Z737" s="84"/>
    </row>
    <row r="738" spans="5:26" ht="42" customHeight="1">
      <c r="E738" s="84"/>
      <c r="F738" s="84"/>
      <c r="Y738" s="84"/>
      <c r="Z738" s="84"/>
    </row>
    <row r="739" spans="5:26" ht="42" customHeight="1">
      <c r="E739" s="84"/>
      <c r="F739" s="84"/>
      <c r="Y739" s="84"/>
      <c r="Z739" s="84"/>
    </row>
    <row r="740" spans="5:26" ht="42" customHeight="1">
      <c r="E740" s="84"/>
      <c r="F740" s="84"/>
      <c r="Y740" s="84"/>
      <c r="Z740" s="84"/>
    </row>
    <row r="741" spans="5:26" ht="42" customHeight="1">
      <c r="E741" s="84"/>
      <c r="F741" s="84"/>
      <c r="Y741" s="84"/>
      <c r="Z741" s="84"/>
    </row>
    <row r="742" spans="5:26" ht="42" customHeight="1">
      <c r="E742" s="84"/>
      <c r="F742" s="84"/>
      <c r="Y742" s="84"/>
      <c r="Z742" s="84"/>
    </row>
    <row r="743" spans="5:26" ht="42" customHeight="1">
      <c r="E743" s="84"/>
      <c r="F743" s="84"/>
      <c r="Y743" s="84"/>
      <c r="Z743" s="84"/>
    </row>
    <row r="744" spans="5:26" ht="42" customHeight="1">
      <c r="E744" s="84"/>
      <c r="F744" s="84"/>
      <c r="Y744" s="84"/>
      <c r="Z744" s="84"/>
    </row>
    <row r="745" spans="5:26" ht="42" customHeight="1">
      <c r="E745" s="84"/>
      <c r="F745" s="84"/>
      <c r="Y745" s="84"/>
      <c r="Z745" s="84"/>
    </row>
    <row r="746" spans="5:26" ht="42" customHeight="1">
      <c r="E746" s="84"/>
      <c r="F746" s="84"/>
      <c r="Y746" s="84"/>
      <c r="Z746" s="84"/>
    </row>
    <row r="747" spans="5:26" ht="42" customHeight="1">
      <c r="E747" s="84"/>
      <c r="F747" s="84"/>
      <c r="Y747" s="84"/>
      <c r="Z747" s="84"/>
    </row>
    <row r="748" spans="5:26" ht="42" customHeight="1">
      <c r="E748" s="84"/>
      <c r="F748" s="84"/>
      <c r="Y748" s="84"/>
      <c r="Z748" s="84"/>
    </row>
    <row r="749" spans="5:26" ht="42" customHeight="1">
      <c r="E749" s="84"/>
      <c r="F749" s="84"/>
      <c r="Y749" s="84"/>
      <c r="Z749" s="84"/>
    </row>
    <row r="750" spans="5:26" ht="42" customHeight="1">
      <c r="E750" s="84"/>
      <c r="F750" s="84"/>
      <c r="Y750" s="84"/>
      <c r="Z750" s="84"/>
    </row>
    <row r="751" spans="5:26" ht="42" customHeight="1">
      <c r="E751" s="84"/>
      <c r="F751" s="84"/>
      <c r="Y751" s="84"/>
      <c r="Z751" s="84"/>
    </row>
    <row r="752" spans="5:26" ht="42" customHeight="1">
      <c r="E752" s="84"/>
      <c r="F752" s="84"/>
      <c r="Y752" s="84"/>
      <c r="Z752" s="84"/>
    </row>
    <row r="753" spans="5:26" ht="42" customHeight="1">
      <c r="E753" s="84"/>
      <c r="F753" s="84"/>
      <c r="Y753" s="84"/>
      <c r="Z753" s="84"/>
    </row>
    <row r="754" spans="5:26" ht="42" customHeight="1">
      <c r="E754" s="84"/>
      <c r="F754" s="84"/>
      <c r="Y754" s="84"/>
      <c r="Z754" s="84"/>
    </row>
    <row r="755" spans="5:26" ht="42" customHeight="1">
      <c r="E755" s="84"/>
      <c r="F755" s="84"/>
      <c r="Y755" s="84"/>
      <c r="Z755" s="84"/>
    </row>
    <row r="756" spans="5:26" ht="42" customHeight="1">
      <c r="E756" s="84"/>
      <c r="F756" s="84"/>
      <c r="Y756" s="84"/>
      <c r="Z756" s="84"/>
    </row>
    <row r="757" spans="5:26" ht="42" customHeight="1">
      <c r="E757" s="84"/>
      <c r="F757" s="84"/>
      <c r="Y757" s="84"/>
      <c r="Z757" s="84"/>
    </row>
    <row r="758" spans="5:26" ht="42" customHeight="1">
      <c r="E758" s="84"/>
      <c r="F758" s="84"/>
      <c r="Y758" s="84"/>
      <c r="Z758" s="84"/>
    </row>
    <row r="759" spans="5:26" ht="42" customHeight="1">
      <c r="E759" s="84"/>
      <c r="F759" s="84"/>
      <c r="Y759" s="84"/>
      <c r="Z759" s="84"/>
    </row>
    <row r="760" spans="5:26" ht="42" customHeight="1">
      <c r="E760" s="84"/>
      <c r="F760" s="84"/>
      <c r="Y760" s="84"/>
      <c r="Z760" s="84"/>
    </row>
    <row r="761" spans="5:26" ht="42" customHeight="1">
      <c r="E761" s="84"/>
      <c r="F761" s="84"/>
      <c r="Y761" s="84"/>
      <c r="Z761" s="84"/>
    </row>
    <row r="762" spans="5:26" ht="42" customHeight="1">
      <c r="E762" s="84"/>
      <c r="F762" s="84"/>
      <c r="Y762" s="84"/>
      <c r="Z762" s="84"/>
    </row>
    <row r="763" spans="5:26" ht="42" customHeight="1">
      <c r="E763" s="84"/>
      <c r="F763" s="84"/>
      <c r="Y763" s="84"/>
      <c r="Z763" s="84"/>
    </row>
    <row r="764" spans="5:26" ht="42" customHeight="1">
      <c r="E764" s="84"/>
      <c r="F764" s="84"/>
      <c r="Y764" s="84"/>
      <c r="Z764" s="84"/>
    </row>
    <row r="765" spans="5:26" ht="42" customHeight="1">
      <c r="E765" s="84"/>
      <c r="F765" s="84"/>
      <c r="Y765" s="84"/>
      <c r="Z765" s="84"/>
    </row>
    <row r="766" spans="5:26" ht="42" customHeight="1">
      <c r="E766" s="84"/>
      <c r="F766" s="84"/>
      <c r="Y766" s="84"/>
      <c r="Z766" s="84"/>
    </row>
    <row r="767" spans="5:26" ht="42" customHeight="1">
      <c r="E767" s="84"/>
      <c r="F767" s="84"/>
      <c r="Y767" s="84"/>
      <c r="Z767" s="84"/>
    </row>
    <row r="768" spans="5:26" ht="42" customHeight="1">
      <c r="E768" s="84"/>
      <c r="F768" s="84"/>
      <c r="Y768" s="84"/>
      <c r="Z768" s="84"/>
    </row>
    <row r="769" spans="5:26" ht="42" customHeight="1">
      <c r="E769" s="84"/>
      <c r="F769" s="84"/>
      <c r="Y769" s="84"/>
      <c r="Z769" s="84"/>
    </row>
    <row r="770" spans="5:26" ht="42" customHeight="1">
      <c r="E770" s="84"/>
      <c r="F770" s="84"/>
      <c r="Y770" s="84"/>
      <c r="Z770" s="84"/>
    </row>
    <row r="771" spans="5:26" ht="42" customHeight="1">
      <c r="E771" s="84"/>
      <c r="F771" s="84"/>
      <c r="Y771" s="84"/>
      <c r="Z771" s="84"/>
    </row>
    <row r="772" spans="5:26" ht="42" customHeight="1">
      <c r="E772" s="84"/>
      <c r="F772" s="84"/>
      <c r="Y772" s="84"/>
      <c r="Z772" s="84"/>
    </row>
    <row r="773" spans="5:26" ht="42" customHeight="1">
      <c r="E773" s="84"/>
      <c r="F773" s="84"/>
      <c r="Y773" s="84"/>
      <c r="Z773" s="84"/>
    </row>
    <row r="774" spans="5:26" ht="42" customHeight="1">
      <c r="E774" s="84"/>
      <c r="F774" s="84"/>
      <c r="Y774" s="84"/>
      <c r="Z774" s="84"/>
    </row>
    <row r="775" spans="5:26" ht="42" customHeight="1">
      <c r="E775" s="84"/>
      <c r="F775" s="84"/>
      <c r="Y775" s="84"/>
      <c r="Z775" s="84"/>
    </row>
    <row r="776" spans="5:26" ht="42" customHeight="1">
      <c r="E776" s="84"/>
      <c r="F776" s="84"/>
      <c r="Y776" s="84"/>
      <c r="Z776" s="84"/>
    </row>
    <row r="777" spans="5:26" ht="42" customHeight="1">
      <c r="E777" s="84"/>
      <c r="F777" s="84"/>
      <c r="Y777" s="84"/>
      <c r="Z777" s="84"/>
    </row>
    <row r="778" spans="5:26" ht="42" customHeight="1">
      <c r="E778" s="84"/>
      <c r="F778" s="84"/>
      <c r="Y778" s="84"/>
      <c r="Z778" s="84"/>
    </row>
    <row r="779" spans="5:26" ht="42" customHeight="1">
      <c r="E779" s="84"/>
      <c r="F779" s="84"/>
      <c r="Y779" s="84"/>
      <c r="Z779" s="84"/>
    </row>
    <row r="780" spans="5:26" ht="42" customHeight="1">
      <c r="E780" s="84"/>
      <c r="F780" s="84"/>
      <c r="Y780" s="84"/>
      <c r="Z780" s="84"/>
    </row>
    <row r="781" spans="5:26" ht="42" customHeight="1">
      <c r="E781" s="84"/>
      <c r="F781" s="84"/>
      <c r="Y781" s="84"/>
      <c r="Z781" s="84"/>
    </row>
    <row r="782" spans="5:26" ht="42" customHeight="1">
      <c r="E782" s="84"/>
      <c r="F782" s="84"/>
      <c r="Y782" s="84"/>
      <c r="Z782" s="84"/>
    </row>
    <row r="783" spans="5:26" ht="42" customHeight="1">
      <c r="E783" s="84"/>
      <c r="F783" s="84"/>
      <c r="Y783" s="84"/>
      <c r="Z783" s="84"/>
    </row>
    <row r="784" spans="5:26" ht="42" customHeight="1">
      <c r="E784" s="84"/>
      <c r="F784" s="84"/>
      <c r="Y784" s="84"/>
      <c r="Z784" s="84"/>
    </row>
    <row r="785" spans="5:26" ht="42" customHeight="1">
      <c r="E785" s="84"/>
      <c r="F785" s="84"/>
      <c r="Y785" s="84"/>
      <c r="Z785" s="84"/>
    </row>
    <row r="786" spans="5:26" ht="42" customHeight="1">
      <c r="E786" s="84"/>
      <c r="F786" s="84"/>
      <c r="Y786" s="84"/>
      <c r="Z786" s="84"/>
    </row>
    <row r="787" spans="5:26" ht="42" customHeight="1">
      <c r="E787" s="84"/>
      <c r="F787" s="84"/>
      <c r="Y787" s="84"/>
      <c r="Z787" s="84"/>
    </row>
    <row r="788" spans="5:26" ht="42" customHeight="1">
      <c r="E788" s="84"/>
      <c r="F788" s="84"/>
      <c r="Y788" s="84"/>
      <c r="Z788" s="84"/>
    </row>
    <row r="789" spans="5:26" ht="42" customHeight="1">
      <c r="E789" s="84"/>
      <c r="F789" s="84"/>
      <c r="Y789" s="84"/>
      <c r="Z789" s="84"/>
    </row>
    <row r="790" spans="5:26" ht="42" customHeight="1">
      <c r="E790" s="84"/>
      <c r="F790" s="84"/>
      <c r="Y790" s="84"/>
      <c r="Z790" s="84"/>
    </row>
    <row r="791" spans="5:26" ht="42" customHeight="1">
      <c r="E791" s="84"/>
      <c r="F791" s="84"/>
      <c r="Y791" s="84"/>
      <c r="Z791" s="84"/>
    </row>
    <row r="792" spans="5:26" ht="42" customHeight="1">
      <c r="E792" s="84"/>
      <c r="F792" s="84"/>
      <c r="Y792" s="84"/>
      <c r="Z792" s="84"/>
    </row>
    <row r="793" spans="5:26" ht="42" customHeight="1">
      <c r="E793" s="84"/>
      <c r="F793" s="84"/>
      <c r="Y793" s="84"/>
      <c r="Z793" s="84"/>
    </row>
    <row r="794" spans="5:26" ht="42" customHeight="1">
      <c r="E794" s="84"/>
      <c r="F794" s="84"/>
      <c r="Y794" s="84"/>
      <c r="Z794" s="84"/>
    </row>
    <row r="795" spans="5:26" ht="42" customHeight="1">
      <c r="E795" s="84"/>
      <c r="F795" s="84"/>
      <c r="Y795" s="84"/>
      <c r="Z795" s="84"/>
    </row>
    <row r="796" spans="5:26" ht="42" customHeight="1">
      <c r="E796" s="84"/>
      <c r="F796" s="84"/>
      <c r="Y796" s="84"/>
      <c r="Z796" s="84"/>
    </row>
    <row r="797" spans="5:26" ht="42" customHeight="1">
      <c r="E797" s="84"/>
      <c r="F797" s="84"/>
      <c r="Y797" s="84"/>
      <c r="Z797" s="84"/>
    </row>
    <row r="798" spans="5:26" ht="42" customHeight="1">
      <c r="E798" s="84"/>
      <c r="F798" s="84"/>
      <c r="Y798" s="84"/>
      <c r="Z798" s="84"/>
    </row>
    <row r="799" spans="5:26" ht="42" customHeight="1">
      <c r="E799" s="84"/>
      <c r="F799" s="84"/>
      <c r="Y799" s="84"/>
      <c r="Z799" s="84"/>
    </row>
    <row r="800" spans="5:26" ht="42" customHeight="1">
      <c r="E800" s="84"/>
      <c r="F800" s="84"/>
      <c r="Y800" s="84"/>
      <c r="Z800" s="84"/>
    </row>
    <row r="801" spans="5:26" ht="42" customHeight="1">
      <c r="E801" s="84"/>
      <c r="F801" s="84"/>
      <c r="Y801" s="84"/>
      <c r="Z801" s="84"/>
    </row>
    <row r="802" spans="5:26" ht="42" customHeight="1">
      <c r="E802" s="84"/>
      <c r="F802" s="84"/>
      <c r="Y802" s="84"/>
      <c r="Z802" s="84"/>
    </row>
    <row r="803" spans="5:26" ht="42" customHeight="1">
      <c r="E803" s="84"/>
      <c r="F803" s="84"/>
      <c r="Y803" s="84"/>
      <c r="Z803" s="84"/>
    </row>
    <row r="804" spans="5:26" ht="42" customHeight="1">
      <c r="E804" s="84"/>
      <c r="F804" s="84"/>
      <c r="Y804" s="84"/>
      <c r="Z804" s="84"/>
    </row>
    <row r="805" spans="5:26" ht="42" customHeight="1">
      <c r="E805" s="84"/>
      <c r="F805" s="84"/>
      <c r="Y805" s="84"/>
      <c r="Z805" s="84"/>
    </row>
    <row r="806" spans="5:26" ht="42" customHeight="1">
      <c r="E806" s="84"/>
      <c r="F806" s="84"/>
      <c r="Y806" s="84"/>
      <c r="Z806" s="84"/>
    </row>
    <row r="807" spans="5:26" ht="42" customHeight="1">
      <c r="E807" s="84"/>
      <c r="F807" s="84"/>
      <c r="Y807" s="84"/>
      <c r="Z807" s="84"/>
    </row>
    <row r="808" spans="5:26" ht="42" customHeight="1">
      <c r="E808" s="84"/>
      <c r="F808" s="84"/>
      <c r="Y808" s="84"/>
      <c r="Z808" s="84"/>
    </row>
    <row r="809" spans="5:26" ht="42" customHeight="1">
      <c r="E809" s="84"/>
      <c r="F809" s="84"/>
      <c r="Y809" s="84"/>
      <c r="Z809" s="84"/>
    </row>
    <row r="810" spans="5:26" ht="42" customHeight="1">
      <c r="E810" s="84"/>
      <c r="F810" s="84"/>
      <c r="Y810" s="84"/>
      <c r="Z810" s="84"/>
    </row>
    <row r="811" spans="5:26" ht="42" customHeight="1">
      <c r="E811" s="84"/>
      <c r="F811" s="84"/>
      <c r="Y811" s="84"/>
      <c r="Z811" s="84"/>
    </row>
    <row r="812" spans="5:26" ht="42" customHeight="1">
      <c r="E812" s="84"/>
      <c r="F812" s="84"/>
      <c r="Y812" s="84"/>
      <c r="Z812" s="84"/>
    </row>
    <row r="813" spans="5:26" ht="42" customHeight="1">
      <c r="E813" s="84"/>
      <c r="F813" s="84"/>
      <c r="Y813" s="84"/>
      <c r="Z813" s="84"/>
    </row>
    <row r="814" spans="5:26" ht="42" customHeight="1">
      <c r="E814" s="84"/>
      <c r="F814" s="84"/>
      <c r="Y814" s="84"/>
      <c r="Z814" s="84"/>
    </row>
    <row r="815" spans="5:26" ht="42" customHeight="1">
      <c r="E815" s="84"/>
      <c r="F815" s="84"/>
      <c r="Y815" s="84"/>
      <c r="Z815" s="84"/>
    </row>
    <row r="816" spans="5:26" ht="42" customHeight="1">
      <c r="E816" s="84"/>
      <c r="F816" s="84"/>
      <c r="Y816" s="84"/>
      <c r="Z816" s="84"/>
    </row>
    <row r="817" spans="5:26" ht="42" customHeight="1">
      <c r="E817" s="84"/>
      <c r="F817" s="84"/>
      <c r="Y817" s="84"/>
      <c r="Z817" s="84"/>
    </row>
    <row r="818" spans="5:26" ht="42" customHeight="1">
      <c r="E818" s="84"/>
      <c r="F818" s="84"/>
      <c r="Y818" s="84"/>
      <c r="Z818" s="84"/>
    </row>
    <row r="819" spans="5:26" ht="42" customHeight="1">
      <c r="E819" s="84"/>
      <c r="F819" s="84"/>
      <c r="Y819" s="84"/>
      <c r="Z819" s="84"/>
    </row>
    <row r="820" spans="5:26" ht="42" customHeight="1">
      <c r="E820" s="84"/>
      <c r="F820" s="84"/>
      <c r="Y820" s="84"/>
      <c r="Z820" s="84"/>
    </row>
    <row r="821" spans="5:26" ht="42" customHeight="1">
      <c r="E821" s="84"/>
      <c r="F821" s="84"/>
      <c r="Y821" s="84"/>
      <c r="Z821" s="84"/>
    </row>
    <row r="822" spans="5:26" ht="42" customHeight="1">
      <c r="E822" s="84"/>
      <c r="F822" s="84"/>
      <c r="Y822" s="84"/>
      <c r="Z822" s="84"/>
    </row>
    <row r="823" spans="5:26" ht="42" customHeight="1">
      <c r="E823" s="84"/>
      <c r="F823" s="84"/>
      <c r="Y823" s="84"/>
      <c r="Z823" s="84"/>
    </row>
    <row r="824" spans="5:26" ht="42" customHeight="1">
      <c r="E824" s="84"/>
      <c r="F824" s="84"/>
      <c r="Y824" s="84"/>
      <c r="Z824" s="84"/>
    </row>
    <row r="825" spans="5:26" ht="42" customHeight="1">
      <c r="E825" s="84"/>
      <c r="F825" s="84"/>
      <c r="Y825" s="84"/>
      <c r="Z825" s="84"/>
    </row>
    <row r="826" spans="5:26" ht="42" customHeight="1">
      <c r="E826" s="84"/>
      <c r="F826" s="84"/>
      <c r="Y826" s="84"/>
      <c r="Z826" s="84"/>
    </row>
    <row r="827" spans="5:26" ht="42" customHeight="1">
      <c r="E827" s="84"/>
      <c r="F827" s="84"/>
      <c r="Y827" s="84"/>
      <c r="Z827" s="84"/>
    </row>
    <row r="828" spans="5:26" ht="42" customHeight="1">
      <c r="E828" s="84"/>
      <c r="F828" s="84"/>
      <c r="Y828" s="84"/>
      <c r="Z828" s="84"/>
    </row>
    <row r="829" spans="5:26" ht="42" customHeight="1">
      <c r="E829" s="84"/>
      <c r="F829" s="84"/>
      <c r="Y829" s="84"/>
      <c r="Z829" s="84"/>
    </row>
    <row r="830" spans="5:26" ht="42" customHeight="1">
      <c r="E830" s="84"/>
      <c r="F830" s="84"/>
      <c r="Y830" s="84"/>
      <c r="Z830" s="84"/>
    </row>
    <row r="831" spans="5:26" ht="42" customHeight="1">
      <c r="E831" s="84"/>
      <c r="F831" s="84"/>
      <c r="Y831" s="84"/>
      <c r="Z831" s="84"/>
    </row>
    <row r="832" spans="5:26" ht="42" customHeight="1">
      <c r="E832" s="84"/>
      <c r="F832" s="84"/>
      <c r="Y832" s="84"/>
      <c r="Z832" s="84"/>
    </row>
    <row r="833" spans="5:26" ht="42" customHeight="1">
      <c r="E833" s="84"/>
      <c r="F833" s="84"/>
      <c r="Y833" s="84"/>
      <c r="Z833" s="84"/>
    </row>
    <row r="834" spans="5:26" ht="42" customHeight="1">
      <c r="E834" s="84"/>
      <c r="F834" s="84"/>
      <c r="Y834" s="84"/>
      <c r="Z834" s="84"/>
    </row>
    <row r="835" spans="5:26" ht="42" customHeight="1">
      <c r="E835" s="84"/>
      <c r="F835" s="84"/>
      <c r="Y835" s="84"/>
      <c r="Z835" s="84"/>
    </row>
    <row r="836" spans="5:26" ht="42" customHeight="1">
      <c r="E836" s="84"/>
      <c r="F836" s="84"/>
      <c r="Y836" s="84"/>
      <c r="Z836" s="84"/>
    </row>
    <row r="837" spans="5:26" ht="42" customHeight="1">
      <c r="E837" s="84"/>
      <c r="F837" s="84"/>
      <c r="Y837" s="84"/>
      <c r="Z837" s="84"/>
    </row>
    <row r="838" spans="5:26" ht="42" customHeight="1">
      <c r="E838" s="84"/>
      <c r="F838" s="84"/>
      <c r="Y838" s="84"/>
      <c r="Z838" s="84"/>
    </row>
    <row r="839" spans="5:26" ht="42" customHeight="1">
      <c r="E839" s="84"/>
      <c r="F839" s="84"/>
      <c r="Y839" s="84"/>
      <c r="Z839" s="84"/>
    </row>
    <row r="840" spans="5:26" ht="42" customHeight="1">
      <c r="E840" s="84"/>
      <c r="F840" s="84"/>
      <c r="Y840" s="84"/>
      <c r="Z840" s="84"/>
    </row>
    <row r="841" spans="5:26" ht="42" customHeight="1">
      <c r="E841" s="84"/>
      <c r="F841" s="84"/>
      <c r="Y841" s="84"/>
      <c r="Z841" s="84"/>
    </row>
    <row r="842" spans="5:26" ht="42" customHeight="1">
      <c r="E842" s="84"/>
      <c r="F842" s="84"/>
      <c r="Y842" s="84"/>
      <c r="Z842" s="84"/>
    </row>
    <row r="843" spans="5:26" ht="42" customHeight="1">
      <c r="E843" s="84"/>
      <c r="F843" s="84"/>
      <c r="Y843" s="84"/>
      <c r="Z843" s="84"/>
    </row>
    <row r="844" spans="5:26" ht="42" customHeight="1">
      <c r="E844" s="84"/>
      <c r="F844" s="84"/>
      <c r="Y844" s="84"/>
      <c r="Z844" s="84"/>
    </row>
    <row r="845" spans="5:26" ht="42" customHeight="1">
      <c r="E845" s="84"/>
      <c r="F845" s="84"/>
      <c r="Y845" s="84"/>
      <c r="Z845" s="84"/>
    </row>
    <row r="846" spans="5:26" ht="42" customHeight="1">
      <c r="E846" s="84"/>
      <c r="F846" s="84"/>
      <c r="Y846" s="84"/>
      <c r="Z846" s="84"/>
    </row>
    <row r="847" spans="5:26" ht="42" customHeight="1">
      <c r="E847" s="84"/>
      <c r="F847" s="84"/>
      <c r="Y847" s="84"/>
      <c r="Z847" s="84"/>
    </row>
    <row r="848" spans="5:26" ht="42" customHeight="1">
      <c r="E848" s="84"/>
      <c r="F848" s="84"/>
      <c r="Y848" s="84"/>
      <c r="Z848" s="84"/>
    </row>
    <row r="849" spans="5:26" ht="42" customHeight="1">
      <c r="E849" s="84"/>
      <c r="F849" s="84"/>
      <c r="Y849" s="84"/>
      <c r="Z849" s="84"/>
    </row>
    <row r="850" spans="5:26" ht="42" customHeight="1">
      <c r="E850" s="84"/>
      <c r="F850" s="84"/>
      <c r="Y850" s="84"/>
      <c r="Z850" s="84"/>
    </row>
    <row r="851" spans="5:26" ht="42" customHeight="1">
      <c r="E851" s="84"/>
      <c r="F851" s="84"/>
      <c r="Y851" s="84"/>
      <c r="Z851" s="84"/>
    </row>
    <row r="852" spans="5:26" ht="42" customHeight="1">
      <c r="E852" s="84"/>
      <c r="F852" s="84"/>
      <c r="Y852" s="84"/>
      <c r="Z852" s="84"/>
    </row>
    <row r="853" spans="5:26" ht="42" customHeight="1">
      <c r="E853" s="84"/>
      <c r="F853" s="84"/>
      <c r="Y853" s="84"/>
      <c r="Z853" s="84"/>
    </row>
    <row r="854" spans="5:26" ht="42" customHeight="1">
      <c r="E854" s="84"/>
      <c r="F854" s="84"/>
      <c r="Y854" s="84"/>
      <c r="Z854" s="84"/>
    </row>
    <row r="855" spans="5:26" ht="42" customHeight="1">
      <c r="E855" s="84"/>
      <c r="F855" s="84"/>
      <c r="Y855" s="84"/>
      <c r="Z855" s="84"/>
    </row>
    <row r="856" spans="5:26" ht="42" customHeight="1">
      <c r="E856" s="84"/>
      <c r="F856" s="84"/>
      <c r="Y856" s="84"/>
      <c r="Z856" s="84"/>
    </row>
    <row r="857" spans="5:26" ht="42" customHeight="1">
      <c r="E857" s="84"/>
      <c r="F857" s="84"/>
      <c r="Y857" s="84"/>
      <c r="Z857" s="84"/>
    </row>
    <row r="858" spans="5:26" ht="42" customHeight="1">
      <c r="E858" s="84"/>
      <c r="F858" s="84"/>
      <c r="Y858" s="84"/>
      <c r="Z858" s="84"/>
    </row>
    <row r="859" spans="5:26" ht="42" customHeight="1">
      <c r="E859" s="84"/>
      <c r="F859" s="84"/>
      <c r="Y859" s="84"/>
      <c r="Z859" s="84"/>
    </row>
    <row r="860" spans="5:26" ht="42" customHeight="1">
      <c r="E860" s="84"/>
      <c r="F860" s="84"/>
      <c r="Y860" s="84"/>
      <c r="Z860" s="84"/>
    </row>
    <row r="861" spans="5:26" ht="42" customHeight="1">
      <c r="E861" s="84"/>
      <c r="F861" s="84"/>
      <c r="Y861" s="84"/>
      <c r="Z861" s="84"/>
    </row>
    <row r="862" spans="5:26" ht="42" customHeight="1">
      <c r="E862" s="84"/>
      <c r="F862" s="84"/>
      <c r="Y862" s="84"/>
      <c r="Z862" s="84"/>
    </row>
    <row r="863" spans="5:26" ht="42" customHeight="1">
      <c r="E863" s="84"/>
      <c r="F863" s="84"/>
      <c r="Y863" s="84"/>
      <c r="Z863" s="84"/>
    </row>
    <row r="864" spans="5:26" ht="42" customHeight="1">
      <c r="E864" s="84"/>
      <c r="F864" s="84"/>
      <c r="Y864" s="84"/>
      <c r="Z864" s="84"/>
    </row>
    <row r="865" spans="5:26" ht="42" customHeight="1">
      <c r="E865" s="84"/>
      <c r="F865" s="84"/>
      <c r="Y865" s="84"/>
      <c r="Z865" s="84"/>
    </row>
    <row r="866" spans="5:26" ht="42" customHeight="1">
      <c r="E866" s="84"/>
      <c r="F866" s="84"/>
      <c r="Y866" s="84"/>
      <c r="Z866" s="84"/>
    </row>
    <row r="867" spans="5:26" ht="42" customHeight="1">
      <c r="E867" s="84"/>
      <c r="F867" s="84"/>
      <c r="Y867" s="84"/>
      <c r="Z867" s="84"/>
    </row>
    <row r="868" spans="5:26" ht="42" customHeight="1">
      <c r="E868" s="84"/>
      <c r="F868" s="84"/>
      <c r="Y868" s="84"/>
      <c r="Z868" s="84"/>
    </row>
    <row r="869" spans="5:26" ht="42" customHeight="1">
      <c r="E869" s="84"/>
      <c r="F869" s="84"/>
      <c r="Y869" s="84"/>
      <c r="Z869" s="84"/>
    </row>
    <row r="870" spans="5:26" ht="42" customHeight="1">
      <c r="E870" s="84"/>
      <c r="F870" s="84"/>
      <c r="Y870" s="84"/>
      <c r="Z870" s="84"/>
    </row>
    <row r="871" spans="5:26" ht="42" customHeight="1">
      <c r="E871" s="84"/>
      <c r="F871" s="84"/>
      <c r="Y871" s="84"/>
      <c r="Z871" s="84"/>
    </row>
    <row r="872" spans="5:26" ht="42" customHeight="1">
      <c r="E872" s="84"/>
      <c r="F872" s="84"/>
      <c r="Y872" s="84"/>
      <c r="Z872" s="84"/>
    </row>
    <row r="873" spans="5:26" ht="42" customHeight="1">
      <c r="E873" s="84"/>
      <c r="F873" s="84"/>
      <c r="Y873" s="84"/>
      <c r="Z873" s="84"/>
    </row>
    <row r="874" spans="5:26" ht="42" customHeight="1">
      <c r="E874" s="84"/>
      <c r="F874" s="84"/>
      <c r="Y874" s="84"/>
      <c r="Z874" s="84"/>
    </row>
    <row r="875" spans="5:26" ht="42" customHeight="1">
      <c r="E875" s="84"/>
      <c r="F875" s="84"/>
      <c r="Y875" s="84"/>
      <c r="Z875" s="84"/>
    </row>
    <row r="876" spans="5:26" ht="42" customHeight="1">
      <c r="E876" s="84"/>
      <c r="F876" s="84"/>
      <c r="Y876" s="84"/>
      <c r="Z876" s="84"/>
    </row>
    <row r="877" spans="5:26" ht="42" customHeight="1">
      <c r="E877" s="84"/>
      <c r="F877" s="84"/>
      <c r="Y877" s="84"/>
      <c r="Z877" s="84"/>
    </row>
    <row r="878" spans="5:26" ht="42" customHeight="1">
      <c r="E878" s="84"/>
      <c r="F878" s="84"/>
      <c r="Y878" s="84"/>
      <c r="Z878" s="84"/>
    </row>
    <row r="879" spans="5:26" ht="42" customHeight="1">
      <c r="E879" s="84"/>
      <c r="F879" s="84"/>
      <c r="Y879" s="84"/>
      <c r="Z879" s="84"/>
    </row>
    <row r="880" spans="5:26" ht="42" customHeight="1">
      <c r="E880" s="84"/>
      <c r="F880" s="84"/>
      <c r="Y880" s="84"/>
      <c r="Z880" s="84"/>
    </row>
    <row r="881" spans="5:26" ht="42" customHeight="1">
      <c r="E881" s="84"/>
      <c r="F881" s="84"/>
      <c r="Y881" s="84"/>
      <c r="Z881" s="84"/>
    </row>
    <row r="882" spans="5:26" ht="42" customHeight="1">
      <c r="E882" s="84"/>
      <c r="F882" s="84"/>
      <c r="Y882" s="84"/>
      <c r="Z882" s="84"/>
    </row>
    <row r="883" spans="5:26" ht="42" customHeight="1">
      <c r="E883" s="84"/>
      <c r="F883" s="84"/>
      <c r="Y883" s="84"/>
      <c r="Z883" s="84"/>
    </row>
    <row r="884" spans="5:26" ht="42" customHeight="1">
      <c r="E884" s="84"/>
      <c r="F884" s="84"/>
      <c r="Y884" s="84"/>
      <c r="Z884" s="84"/>
    </row>
    <row r="885" spans="5:26" ht="42" customHeight="1">
      <c r="E885" s="84"/>
      <c r="F885" s="84"/>
      <c r="Y885" s="84"/>
      <c r="Z885" s="84"/>
    </row>
    <row r="886" spans="5:26" ht="42" customHeight="1">
      <c r="E886" s="84"/>
      <c r="F886" s="84"/>
      <c r="Y886" s="84"/>
      <c r="Z886" s="84"/>
    </row>
    <row r="887" spans="5:26" ht="42" customHeight="1">
      <c r="E887" s="84"/>
      <c r="F887" s="84"/>
      <c r="Y887" s="84"/>
      <c r="Z887" s="84"/>
    </row>
    <row r="888" spans="5:26" ht="42" customHeight="1">
      <c r="E888" s="84"/>
      <c r="F888" s="84"/>
      <c r="Y888" s="84"/>
      <c r="Z888" s="84"/>
    </row>
    <row r="889" spans="5:26" ht="42" customHeight="1">
      <c r="E889" s="84"/>
      <c r="F889" s="84"/>
      <c r="Y889" s="84"/>
      <c r="Z889" s="84"/>
    </row>
    <row r="890" spans="5:26" ht="42" customHeight="1">
      <c r="E890" s="84"/>
      <c r="F890" s="84"/>
      <c r="Y890" s="84"/>
      <c r="Z890" s="84"/>
    </row>
    <row r="891" spans="5:26" ht="42" customHeight="1">
      <c r="E891" s="84"/>
      <c r="F891" s="84"/>
      <c r="Y891" s="84"/>
      <c r="Z891" s="84"/>
    </row>
    <row r="892" spans="5:26" ht="42" customHeight="1">
      <c r="E892" s="84"/>
      <c r="F892" s="84"/>
      <c r="Y892" s="84"/>
      <c r="Z892" s="84"/>
    </row>
    <row r="893" spans="5:26" ht="42" customHeight="1">
      <c r="E893" s="84"/>
      <c r="F893" s="84"/>
      <c r="Y893" s="84"/>
      <c r="Z893" s="84"/>
    </row>
    <row r="894" spans="5:26" ht="42" customHeight="1">
      <c r="E894" s="84"/>
      <c r="F894" s="84"/>
      <c r="Y894" s="84"/>
      <c r="Z894" s="84"/>
    </row>
    <row r="895" spans="5:26" ht="42" customHeight="1">
      <c r="E895" s="84"/>
      <c r="F895" s="84"/>
      <c r="Y895" s="84"/>
      <c r="Z895" s="84"/>
    </row>
    <row r="896" spans="5:26" ht="42" customHeight="1">
      <c r="E896" s="84"/>
      <c r="F896" s="84"/>
      <c r="Y896" s="84"/>
      <c r="Z896" s="84"/>
    </row>
    <row r="897" spans="5:26" ht="42" customHeight="1">
      <c r="E897" s="84"/>
      <c r="F897" s="84"/>
      <c r="Y897" s="84"/>
      <c r="Z897" s="84"/>
    </row>
    <row r="898" spans="5:26" ht="42" customHeight="1">
      <c r="E898" s="84"/>
      <c r="F898" s="84"/>
      <c r="Y898" s="84"/>
      <c r="Z898" s="84"/>
    </row>
    <row r="899" spans="5:26" ht="42" customHeight="1">
      <c r="E899" s="84"/>
      <c r="F899" s="84"/>
      <c r="Y899" s="84"/>
      <c r="Z899" s="84"/>
    </row>
    <row r="900" spans="5:26" ht="42" customHeight="1">
      <c r="E900" s="84"/>
      <c r="F900" s="84"/>
      <c r="Y900" s="84"/>
      <c r="Z900" s="84"/>
    </row>
    <row r="901" spans="5:26" ht="42" customHeight="1">
      <c r="E901" s="84"/>
      <c r="F901" s="84"/>
      <c r="Y901" s="84"/>
      <c r="Z901" s="84"/>
    </row>
    <row r="902" spans="5:26" ht="42" customHeight="1">
      <c r="E902" s="84"/>
      <c r="F902" s="84"/>
      <c r="Y902" s="84"/>
      <c r="Z902" s="84"/>
    </row>
    <row r="903" spans="5:26" ht="42" customHeight="1">
      <c r="E903" s="84"/>
      <c r="F903" s="84"/>
      <c r="Y903" s="84"/>
      <c r="Z903" s="84"/>
    </row>
    <row r="904" spans="5:26" ht="42" customHeight="1">
      <c r="E904" s="84"/>
      <c r="F904" s="84"/>
      <c r="Y904" s="84"/>
      <c r="Z904" s="84"/>
    </row>
    <row r="905" spans="5:26" ht="42" customHeight="1">
      <c r="E905" s="84"/>
      <c r="F905" s="84"/>
      <c r="Y905" s="84"/>
      <c r="Z905" s="84"/>
    </row>
    <row r="906" spans="5:26" ht="42" customHeight="1">
      <c r="E906" s="84"/>
      <c r="F906" s="84"/>
      <c r="Y906" s="84"/>
      <c r="Z906" s="84"/>
    </row>
    <row r="907" spans="5:26" ht="42" customHeight="1">
      <c r="E907" s="84"/>
      <c r="F907" s="84"/>
      <c r="Y907" s="84"/>
      <c r="Z907" s="84"/>
    </row>
    <row r="908" spans="5:26" ht="42" customHeight="1">
      <c r="E908" s="84"/>
      <c r="F908" s="84"/>
      <c r="Y908" s="84"/>
      <c r="Z908" s="84"/>
    </row>
    <row r="909" spans="5:26" ht="42" customHeight="1">
      <c r="E909" s="84"/>
      <c r="F909" s="84"/>
      <c r="Y909" s="84"/>
      <c r="Z909" s="84"/>
    </row>
    <row r="910" spans="5:26" ht="42" customHeight="1">
      <c r="E910" s="84"/>
      <c r="F910" s="84"/>
      <c r="Y910" s="84"/>
      <c r="Z910" s="84"/>
    </row>
    <row r="911" spans="5:26" ht="42" customHeight="1">
      <c r="E911" s="84"/>
      <c r="F911" s="84"/>
      <c r="Y911" s="84"/>
      <c r="Z911" s="84"/>
    </row>
    <row r="912" spans="5:26" ht="42" customHeight="1">
      <c r="E912" s="84"/>
      <c r="F912" s="84"/>
      <c r="Y912" s="84"/>
      <c r="Z912" s="84"/>
    </row>
    <row r="913" spans="5:26" ht="42" customHeight="1">
      <c r="E913" s="84"/>
      <c r="F913" s="84"/>
      <c r="Y913" s="84"/>
      <c r="Z913" s="84"/>
    </row>
    <row r="914" spans="5:26" ht="42" customHeight="1">
      <c r="E914" s="84"/>
      <c r="F914" s="84"/>
      <c r="Y914" s="84"/>
      <c r="Z914" s="84"/>
    </row>
    <row r="915" spans="5:26" ht="42" customHeight="1">
      <c r="E915" s="84"/>
      <c r="F915" s="84"/>
      <c r="Y915" s="84"/>
      <c r="Z915" s="84"/>
    </row>
    <row r="916" spans="5:26" ht="42" customHeight="1">
      <c r="E916" s="84"/>
      <c r="F916" s="84"/>
      <c r="Y916" s="84"/>
      <c r="Z916" s="84"/>
    </row>
    <row r="917" spans="5:26" ht="42" customHeight="1">
      <c r="E917" s="84"/>
      <c r="F917" s="84"/>
      <c r="Y917" s="84"/>
      <c r="Z917" s="84"/>
    </row>
    <row r="918" spans="5:26" ht="42" customHeight="1">
      <c r="E918" s="84"/>
      <c r="F918" s="84"/>
      <c r="Y918" s="84"/>
      <c r="Z918" s="84"/>
    </row>
    <row r="919" spans="5:26" ht="42" customHeight="1">
      <c r="E919" s="84"/>
      <c r="F919" s="84"/>
      <c r="Y919" s="84"/>
      <c r="Z919" s="84"/>
    </row>
    <row r="920" spans="5:26" ht="42" customHeight="1">
      <c r="E920" s="84"/>
      <c r="F920" s="84"/>
      <c r="Y920" s="84"/>
      <c r="Z920" s="84"/>
    </row>
    <row r="921" spans="5:26" ht="42" customHeight="1">
      <c r="E921" s="84"/>
      <c r="F921" s="84"/>
      <c r="Y921" s="84"/>
      <c r="Z921" s="84"/>
    </row>
    <row r="922" spans="5:26" ht="42" customHeight="1">
      <c r="E922" s="84"/>
      <c r="F922" s="84"/>
      <c r="Y922" s="84"/>
      <c r="Z922" s="84"/>
    </row>
    <row r="923" spans="5:26" ht="42" customHeight="1">
      <c r="E923" s="84"/>
      <c r="F923" s="84"/>
      <c r="Y923" s="84"/>
      <c r="Z923" s="84"/>
    </row>
    <row r="924" spans="5:26" ht="42" customHeight="1">
      <c r="E924" s="84"/>
      <c r="F924" s="84"/>
      <c r="Y924" s="84"/>
      <c r="Z924" s="84"/>
    </row>
    <row r="925" spans="5:26" ht="42" customHeight="1">
      <c r="E925" s="84"/>
      <c r="F925" s="84"/>
      <c r="Y925" s="84"/>
      <c r="Z925" s="84"/>
    </row>
    <row r="926" spans="5:26" ht="42" customHeight="1">
      <c r="E926" s="84"/>
      <c r="F926" s="84"/>
      <c r="Y926" s="84"/>
      <c r="Z926" s="84"/>
    </row>
    <row r="927" spans="5:26" ht="42" customHeight="1">
      <c r="E927" s="84"/>
      <c r="F927" s="84"/>
      <c r="Y927" s="84"/>
      <c r="Z927" s="84"/>
    </row>
    <row r="928" spans="5:26" ht="42" customHeight="1">
      <c r="E928" s="84"/>
      <c r="F928" s="84"/>
      <c r="Y928" s="84"/>
      <c r="Z928" s="84"/>
    </row>
    <row r="929" spans="5:26" ht="42" customHeight="1">
      <c r="E929" s="84"/>
      <c r="F929" s="84"/>
      <c r="Y929" s="84"/>
      <c r="Z929" s="84"/>
    </row>
    <row r="930" spans="5:26" ht="42" customHeight="1">
      <c r="E930" s="84"/>
      <c r="F930" s="84"/>
      <c r="Y930" s="84"/>
      <c r="Z930" s="84"/>
    </row>
    <row r="931" spans="5:26" ht="42" customHeight="1">
      <c r="E931" s="84"/>
      <c r="F931" s="84"/>
      <c r="Y931" s="84"/>
      <c r="Z931" s="84"/>
    </row>
    <row r="932" spans="5:26" ht="42" customHeight="1">
      <c r="E932" s="84"/>
      <c r="F932" s="84"/>
      <c r="Y932" s="84"/>
      <c r="Z932" s="84"/>
    </row>
    <row r="933" spans="5:26" ht="42" customHeight="1">
      <c r="E933" s="84"/>
      <c r="F933" s="84"/>
      <c r="Y933" s="84"/>
      <c r="Z933" s="84"/>
    </row>
    <row r="934" spans="5:26" ht="42" customHeight="1">
      <c r="E934" s="84"/>
      <c r="F934" s="84"/>
      <c r="Y934" s="84"/>
      <c r="Z934" s="84"/>
    </row>
    <row r="935" spans="5:26" ht="42" customHeight="1">
      <c r="E935" s="84"/>
      <c r="F935" s="84"/>
      <c r="Y935" s="84"/>
      <c r="Z935" s="84"/>
    </row>
    <row r="936" spans="5:26" ht="42" customHeight="1">
      <c r="E936" s="84"/>
      <c r="F936" s="84"/>
      <c r="Y936" s="84"/>
      <c r="Z936" s="84"/>
    </row>
    <row r="937" spans="5:26" ht="42" customHeight="1">
      <c r="E937" s="84"/>
      <c r="F937" s="84"/>
      <c r="Y937" s="84"/>
      <c r="Z937" s="84"/>
    </row>
    <row r="938" spans="5:26" ht="42" customHeight="1">
      <c r="E938" s="84"/>
      <c r="F938" s="84"/>
      <c r="Y938" s="84"/>
      <c r="Z938" s="84"/>
    </row>
    <row r="939" spans="5:26" ht="42" customHeight="1">
      <c r="E939" s="84"/>
      <c r="F939" s="84"/>
      <c r="Y939" s="84"/>
      <c r="Z939" s="84"/>
    </row>
    <row r="940" spans="5:26" ht="42" customHeight="1">
      <c r="E940" s="84"/>
      <c r="F940" s="84"/>
      <c r="Y940" s="84"/>
      <c r="Z940" s="84"/>
    </row>
    <row r="941" spans="5:26" ht="42" customHeight="1">
      <c r="E941" s="84"/>
      <c r="F941" s="84"/>
      <c r="Y941" s="84"/>
      <c r="Z941" s="84"/>
    </row>
    <row r="942" spans="5:26" ht="42" customHeight="1">
      <c r="E942" s="84"/>
      <c r="F942" s="84"/>
      <c r="Y942" s="84"/>
      <c r="Z942" s="84"/>
    </row>
    <row r="943" spans="5:26" ht="42" customHeight="1">
      <c r="E943" s="84"/>
      <c r="F943" s="84"/>
      <c r="Y943" s="84"/>
      <c r="Z943" s="84"/>
    </row>
    <row r="944" spans="5:26" ht="42" customHeight="1">
      <c r="E944" s="84"/>
      <c r="F944" s="84"/>
      <c r="Y944" s="84"/>
      <c r="Z944" s="84"/>
    </row>
    <row r="945" spans="5:26" ht="42" customHeight="1">
      <c r="E945" s="84"/>
      <c r="F945" s="84"/>
      <c r="Y945" s="84"/>
      <c r="Z945" s="84"/>
    </row>
    <row r="946" spans="5:26" ht="42" customHeight="1">
      <c r="E946" s="84"/>
      <c r="F946" s="84"/>
      <c r="Y946" s="84"/>
      <c r="Z946" s="84"/>
    </row>
    <row r="947" spans="5:26" ht="42" customHeight="1">
      <c r="E947" s="84"/>
      <c r="F947" s="84"/>
      <c r="Y947" s="84"/>
      <c r="Z947" s="84"/>
    </row>
    <row r="948" spans="5:26" ht="42" customHeight="1">
      <c r="E948" s="84"/>
      <c r="F948" s="84"/>
      <c r="Y948" s="84"/>
      <c r="Z948" s="84"/>
    </row>
    <row r="949" spans="5:26" ht="42" customHeight="1">
      <c r="E949" s="84"/>
      <c r="F949" s="84"/>
      <c r="Y949" s="84"/>
      <c r="Z949" s="84"/>
    </row>
    <row r="950" spans="5:26" ht="42" customHeight="1">
      <c r="E950" s="84"/>
      <c r="F950" s="84"/>
      <c r="Y950" s="84"/>
      <c r="Z950" s="84"/>
    </row>
    <row r="951" spans="5:26" ht="42" customHeight="1">
      <c r="E951" s="84"/>
      <c r="F951" s="84"/>
      <c r="Y951" s="84"/>
      <c r="Z951" s="84"/>
    </row>
    <row r="952" spans="5:26" ht="42" customHeight="1">
      <c r="E952" s="84"/>
      <c r="F952" s="84"/>
      <c r="Y952" s="84"/>
      <c r="Z952" s="84"/>
    </row>
    <row r="953" spans="5:26" ht="42" customHeight="1">
      <c r="E953" s="84"/>
      <c r="F953" s="84"/>
      <c r="Y953" s="84"/>
      <c r="Z953" s="84"/>
    </row>
    <row r="954" spans="5:26" ht="42" customHeight="1">
      <c r="E954" s="84"/>
      <c r="F954" s="84"/>
      <c r="Y954" s="84"/>
      <c r="Z954" s="84"/>
    </row>
    <row r="955" spans="5:26" ht="42" customHeight="1">
      <c r="E955" s="84"/>
      <c r="F955" s="84"/>
      <c r="Y955" s="84"/>
      <c r="Z955" s="84"/>
    </row>
    <row r="956" spans="5:26" ht="42" customHeight="1">
      <c r="E956" s="84"/>
      <c r="F956" s="84"/>
      <c r="Y956" s="84"/>
      <c r="Z956" s="84"/>
    </row>
    <row r="957" spans="5:26" ht="42" customHeight="1">
      <c r="E957" s="84"/>
      <c r="F957" s="84"/>
      <c r="Y957" s="84"/>
      <c r="Z957" s="84"/>
    </row>
    <row r="958" spans="5:26" ht="42" customHeight="1">
      <c r="E958" s="84"/>
      <c r="F958" s="84"/>
      <c r="Y958" s="84"/>
      <c r="Z958" s="84"/>
    </row>
    <row r="959" spans="5:26" ht="42" customHeight="1">
      <c r="E959" s="84"/>
      <c r="F959" s="84"/>
      <c r="Y959" s="84"/>
      <c r="Z959" s="84"/>
    </row>
    <row r="960" spans="5:26" ht="42" customHeight="1">
      <c r="E960" s="84"/>
      <c r="F960" s="84"/>
      <c r="Y960" s="84"/>
      <c r="Z960" s="84"/>
    </row>
    <row r="961" spans="5:26" ht="42" customHeight="1">
      <c r="E961" s="84"/>
      <c r="F961" s="84"/>
      <c r="Y961" s="84"/>
      <c r="Z961" s="84"/>
    </row>
    <row r="962" spans="5:26" ht="42" customHeight="1">
      <c r="E962" s="84"/>
      <c r="F962" s="84"/>
      <c r="Y962" s="84"/>
      <c r="Z962" s="84"/>
    </row>
    <row r="963" spans="5:26" ht="42" customHeight="1">
      <c r="E963" s="84"/>
      <c r="F963" s="84"/>
      <c r="Y963" s="84"/>
      <c r="Z963" s="84"/>
    </row>
    <row r="964" spans="5:26" ht="42" customHeight="1">
      <c r="E964" s="84"/>
      <c r="F964" s="84"/>
      <c r="Y964" s="84"/>
      <c r="Z964" s="84"/>
    </row>
    <row r="965" spans="5:26" ht="42" customHeight="1">
      <c r="E965" s="84"/>
      <c r="F965" s="84"/>
      <c r="Y965" s="84"/>
      <c r="Z965" s="84"/>
    </row>
    <row r="966" spans="5:26" ht="42" customHeight="1">
      <c r="E966" s="84"/>
      <c r="F966" s="84"/>
      <c r="Y966" s="84"/>
      <c r="Z966" s="84"/>
    </row>
    <row r="967" spans="5:26" ht="42" customHeight="1">
      <c r="E967" s="84"/>
      <c r="F967" s="84"/>
      <c r="Y967" s="84"/>
      <c r="Z967" s="84"/>
    </row>
    <row r="968" spans="5:26" ht="42" customHeight="1">
      <c r="E968" s="84"/>
      <c r="F968" s="84"/>
      <c r="Y968" s="84"/>
      <c r="Z968" s="84"/>
    </row>
    <row r="969" spans="5:26" ht="42" customHeight="1">
      <c r="E969" s="84"/>
      <c r="F969" s="84"/>
      <c r="Y969" s="84"/>
      <c r="Z969" s="84"/>
    </row>
    <row r="970" spans="5:26" ht="42" customHeight="1">
      <c r="E970" s="84"/>
      <c r="F970" s="84"/>
      <c r="Y970" s="84"/>
      <c r="Z970" s="84"/>
    </row>
    <row r="971" spans="5:26" ht="42" customHeight="1">
      <c r="E971" s="84"/>
      <c r="F971" s="84"/>
      <c r="Y971" s="84"/>
      <c r="Z971" s="84"/>
    </row>
    <row r="972" spans="5:26" ht="42" customHeight="1">
      <c r="E972" s="84"/>
      <c r="F972" s="84"/>
      <c r="Y972" s="84"/>
      <c r="Z972" s="84"/>
    </row>
    <row r="973" spans="5:26" ht="42" customHeight="1">
      <c r="E973" s="84"/>
      <c r="F973" s="84"/>
      <c r="Y973" s="84"/>
      <c r="Z973" s="84"/>
    </row>
    <row r="974" spans="5:26" ht="42" customHeight="1">
      <c r="E974" s="84"/>
      <c r="F974" s="84"/>
      <c r="Y974" s="84"/>
      <c r="Z974" s="84"/>
    </row>
    <row r="975" spans="5:26" ht="42" customHeight="1">
      <c r="E975" s="84"/>
      <c r="F975" s="84"/>
      <c r="Y975" s="84"/>
      <c r="Z975" s="84"/>
    </row>
    <row r="976" spans="5:26" ht="42" customHeight="1">
      <c r="E976" s="84"/>
      <c r="F976" s="84"/>
      <c r="Y976" s="84"/>
      <c r="Z976" s="84"/>
    </row>
    <row r="977" spans="5:26" ht="42" customHeight="1">
      <c r="E977" s="84"/>
      <c r="F977" s="84"/>
      <c r="Y977" s="84"/>
      <c r="Z977" s="84"/>
    </row>
    <row r="978" spans="5:26" ht="42" customHeight="1">
      <c r="E978" s="84"/>
      <c r="F978" s="84"/>
      <c r="Y978" s="84"/>
      <c r="Z978" s="84"/>
    </row>
    <row r="979" spans="5:26" ht="42" customHeight="1">
      <c r="E979" s="84"/>
      <c r="F979" s="84"/>
      <c r="Y979" s="84"/>
      <c r="Z979" s="84"/>
    </row>
    <row r="980" spans="5:26" ht="42" customHeight="1">
      <c r="E980" s="84"/>
      <c r="F980" s="84"/>
      <c r="Y980" s="84"/>
      <c r="Z980" s="84"/>
    </row>
    <row r="981" spans="5:26" ht="42" customHeight="1">
      <c r="E981" s="84"/>
      <c r="F981" s="84"/>
      <c r="Y981" s="84"/>
      <c r="Z981" s="84"/>
    </row>
    <row r="982" spans="5:26" ht="42" customHeight="1">
      <c r="E982" s="84"/>
      <c r="F982" s="84"/>
      <c r="Y982" s="84"/>
      <c r="Z982" s="84"/>
    </row>
    <row r="983" spans="5:26" ht="42" customHeight="1">
      <c r="E983" s="84"/>
      <c r="F983" s="84"/>
      <c r="Y983" s="84"/>
      <c r="Z983" s="84"/>
    </row>
    <row r="984" spans="5:26" ht="42" customHeight="1">
      <c r="E984" s="84"/>
      <c r="F984" s="84"/>
      <c r="Y984" s="84"/>
      <c r="Z984" s="84"/>
    </row>
    <row r="985" spans="5:26" ht="42" customHeight="1">
      <c r="E985" s="84"/>
      <c r="F985" s="84"/>
      <c r="Y985" s="84"/>
      <c r="Z985" s="84"/>
    </row>
    <row r="986" spans="5:26" ht="42" customHeight="1">
      <c r="E986" s="84"/>
      <c r="F986" s="84"/>
      <c r="Y986" s="84"/>
      <c r="Z986" s="84"/>
    </row>
    <row r="987" spans="5:26" ht="42" customHeight="1">
      <c r="E987" s="84"/>
      <c r="F987" s="84"/>
      <c r="Y987" s="84"/>
      <c r="Z987" s="84"/>
    </row>
    <row r="988" spans="5:26" ht="42" customHeight="1">
      <c r="E988" s="84"/>
      <c r="F988" s="84"/>
      <c r="Y988" s="84"/>
      <c r="Z988" s="84"/>
    </row>
    <row r="989" spans="5:26" ht="42" customHeight="1">
      <c r="E989" s="84"/>
      <c r="F989" s="84"/>
      <c r="Y989" s="84"/>
      <c r="Z989" s="84"/>
    </row>
    <row r="990" spans="5:26" ht="42" customHeight="1">
      <c r="E990" s="84"/>
      <c r="F990" s="84"/>
      <c r="Y990" s="84"/>
      <c r="Z990" s="84"/>
    </row>
    <row r="991" spans="5:26" ht="42" customHeight="1">
      <c r="E991" s="84"/>
      <c r="F991" s="84"/>
      <c r="Y991" s="84"/>
      <c r="Z991" s="84"/>
    </row>
    <row r="992" spans="5:26" ht="42" customHeight="1">
      <c r="E992" s="84"/>
      <c r="F992" s="84"/>
      <c r="Y992" s="84"/>
      <c r="Z992" s="84"/>
    </row>
    <row r="993" spans="5:26" ht="42" customHeight="1">
      <c r="E993" s="84"/>
      <c r="F993" s="84"/>
      <c r="Y993" s="84"/>
      <c r="Z993" s="84"/>
    </row>
    <row r="994" spans="5:26" ht="42" customHeight="1">
      <c r="E994" s="84"/>
      <c r="F994" s="84"/>
      <c r="Y994" s="84"/>
      <c r="Z994" s="84"/>
    </row>
    <row r="995" spans="5:26" ht="42" customHeight="1">
      <c r="E995" s="84"/>
      <c r="F995" s="84"/>
      <c r="Y995" s="84"/>
      <c r="Z995" s="84"/>
    </row>
    <row r="996" spans="5:26" ht="42" customHeight="1">
      <c r="E996" s="84"/>
      <c r="F996" s="84"/>
      <c r="Y996" s="84"/>
      <c r="Z996" s="84"/>
    </row>
    <row r="997" spans="5:26" ht="42" customHeight="1">
      <c r="E997" s="84"/>
      <c r="F997" s="84"/>
      <c r="Y997" s="84"/>
      <c r="Z997" s="84"/>
    </row>
    <row r="998" spans="5:26" ht="42" customHeight="1">
      <c r="E998" s="84"/>
      <c r="F998" s="84"/>
      <c r="Y998" s="84"/>
      <c r="Z998" s="84"/>
    </row>
    <row r="999" spans="5:26" ht="42" customHeight="1">
      <c r="E999" s="84"/>
      <c r="F999" s="84"/>
      <c r="Y999" s="84"/>
      <c r="Z999" s="84"/>
    </row>
    <row r="1000" spans="5:26" ht="42" customHeight="1">
      <c r="E1000" s="84"/>
      <c r="F1000" s="84"/>
      <c r="Y1000" s="84"/>
      <c r="Z1000" s="84"/>
    </row>
    <row r="1001" spans="5:26" ht="42" customHeight="1">
      <c r="E1001" s="84"/>
      <c r="F1001" s="84"/>
      <c r="Y1001" s="84"/>
      <c r="Z1001" s="84"/>
    </row>
    <row r="1002" spans="5:26" ht="42" customHeight="1">
      <c r="E1002" s="84"/>
      <c r="F1002" s="84"/>
      <c r="Y1002" s="84"/>
      <c r="Z1002" s="84"/>
    </row>
    <row r="1003" spans="5:26" ht="42" customHeight="1">
      <c r="E1003" s="84"/>
      <c r="F1003" s="84"/>
      <c r="Y1003" s="84"/>
      <c r="Z1003" s="84"/>
    </row>
    <row r="1004" spans="5:26" ht="42" customHeight="1">
      <c r="E1004" s="84"/>
      <c r="F1004" s="84"/>
      <c r="Y1004" s="84"/>
      <c r="Z1004" s="84"/>
    </row>
    <row r="1005" spans="5:26" ht="42" customHeight="1">
      <c r="E1005" s="84"/>
      <c r="F1005" s="84"/>
      <c r="Y1005" s="84"/>
      <c r="Z1005" s="84"/>
    </row>
    <row r="1006" spans="5:26" ht="42" customHeight="1">
      <c r="E1006" s="84"/>
      <c r="F1006" s="84"/>
      <c r="Y1006" s="84"/>
      <c r="Z1006" s="84"/>
    </row>
    <row r="1007" spans="5:26" ht="42" customHeight="1">
      <c r="E1007" s="84"/>
      <c r="F1007" s="84"/>
      <c r="Y1007" s="84"/>
      <c r="Z1007" s="84"/>
    </row>
    <row r="1008" spans="5:26" ht="42" customHeight="1">
      <c r="E1008" s="84"/>
      <c r="F1008" s="84"/>
      <c r="Y1008" s="84"/>
      <c r="Z1008" s="84"/>
    </row>
    <row r="1009" spans="5:26" ht="42" customHeight="1">
      <c r="E1009" s="84"/>
      <c r="F1009" s="84"/>
      <c r="Y1009" s="84"/>
      <c r="Z1009" s="84"/>
    </row>
    <row r="1010" spans="5:26" ht="42" customHeight="1">
      <c r="E1010" s="84"/>
      <c r="F1010" s="84"/>
      <c r="Y1010" s="84"/>
      <c r="Z1010" s="84"/>
    </row>
    <row r="1011" spans="5:26" ht="42" customHeight="1">
      <c r="E1011" s="84"/>
      <c r="F1011" s="84"/>
      <c r="Y1011" s="84"/>
      <c r="Z1011" s="84"/>
    </row>
    <row r="1012" spans="5:26" ht="42" customHeight="1">
      <c r="E1012" s="84"/>
      <c r="F1012" s="84"/>
      <c r="Y1012" s="84"/>
      <c r="Z1012" s="84"/>
    </row>
    <row r="1013" spans="5:26" ht="42" customHeight="1">
      <c r="E1013" s="84"/>
      <c r="F1013" s="84"/>
      <c r="Y1013" s="84"/>
      <c r="Z1013" s="84"/>
    </row>
    <row r="1014" spans="5:26" ht="42" customHeight="1">
      <c r="E1014" s="84"/>
      <c r="F1014" s="84"/>
      <c r="Y1014" s="84"/>
      <c r="Z1014" s="84"/>
    </row>
    <row r="1015" spans="5:26" ht="42" customHeight="1">
      <c r="E1015" s="84"/>
      <c r="F1015" s="84"/>
      <c r="Y1015" s="84"/>
      <c r="Z1015" s="84"/>
    </row>
    <row r="1016" spans="5:26" ht="42" customHeight="1">
      <c r="E1016" s="84"/>
      <c r="F1016" s="84"/>
      <c r="Y1016" s="84"/>
      <c r="Z1016" s="84"/>
    </row>
    <row r="1017" spans="5:26" ht="42" customHeight="1">
      <c r="E1017" s="84"/>
      <c r="F1017" s="84"/>
      <c r="Y1017" s="84"/>
      <c r="Z1017" s="84"/>
    </row>
    <row r="1018" spans="5:26" ht="42" customHeight="1">
      <c r="E1018" s="84"/>
      <c r="F1018" s="84"/>
      <c r="Y1018" s="84"/>
      <c r="Z1018" s="84"/>
    </row>
    <row r="1019" spans="5:26" ht="42" customHeight="1">
      <c r="E1019" s="84"/>
      <c r="F1019" s="84"/>
      <c r="Y1019" s="84"/>
      <c r="Z1019" s="84"/>
    </row>
    <row r="1020" spans="5:26" ht="42" customHeight="1">
      <c r="E1020" s="84"/>
      <c r="F1020" s="84"/>
      <c r="Y1020" s="84"/>
      <c r="Z1020" s="84"/>
    </row>
    <row r="1021" spans="5:26" ht="42" customHeight="1">
      <c r="E1021" s="84"/>
      <c r="F1021" s="84"/>
      <c r="Y1021" s="84"/>
      <c r="Z1021" s="84"/>
    </row>
    <row r="1022" spans="5:26" ht="42" customHeight="1">
      <c r="E1022" s="84"/>
      <c r="F1022" s="84"/>
      <c r="Y1022" s="84"/>
      <c r="Z1022" s="84"/>
    </row>
    <row r="1023" spans="5:26" ht="42" customHeight="1">
      <c r="E1023" s="84"/>
      <c r="F1023" s="84"/>
      <c r="Y1023" s="84"/>
      <c r="Z1023" s="84"/>
    </row>
    <row r="1024" spans="5:26" ht="42" customHeight="1">
      <c r="E1024" s="84"/>
      <c r="F1024" s="84"/>
      <c r="Y1024" s="84"/>
      <c r="Z1024" s="84"/>
    </row>
    <row r="1025" spans="5:26" ht="42" customHeight="1">
      <c r="E1025" s="84"/>
      <c r="F1025" s="84"/>
      <c r="Y1025" s="84"/>
      <c r="Z1025" s="84"/>
    </row>
    <row r="1026" spans="5:26" ht="42" customHeight="1">
      <c r="E1026" s="84"/>
      <c r="F1026" s="84"/>
      <c r="Y1026" s="84"/>
      <c r="Z1026" s="84"/>
    </row>
    <row r="1027" spans="5:26" ht="42" customHeight="1">
      <c r="E1027" s="84"/>
      <c r="F1027" s="84"/>
      <c r="Y1027" s="84"/>
      <c r="Z1027" s="84"/>
    </row>
    <row r="1028" spans="5:26" ht="42" customHeight="1">
      <c r="E1028" s="84"/>
      <c r="F1028" s="84"/>
      <c r="Y1028" s="84"/>
      <c r="Z1028" s="84"/>
    </row>
    <row r="1029" spans="5:26" ht="42" customHeight="1">
      <c r="E1029" s="84"/>
      <c r="F1029" s="84"/>
      <c r="Y1029" s="84"/>
      <c r="Z1029" s="84"/>
    </row>
    <row r="1030" spans="5:26" ht="42" customHeight="1">
      <c r="E1030" s="84"/>
      <c r="F1030" s="84"/>
      <c r="Y1030" s="84"/>
      <c r="Z1030" s="84"/>
    </row>
    <row r="1031" spans="5:26" ht="42" customHeight="1">
      <c r="E1031" s="84"/>
      <c r="F1031" s="84"/>
      <c r="Y1031" s="84"/>
      <c r="Z1031" s="84"/>
    </row>
    <row r="1032" spans="5:26" ht="42" customHeight="1">
      <c r="E1032" s="84"/>
      <c r="F1032" s="84"/>
      <c r="Y1032" s="84"/>
      <c r="Z1032" s="84"/>
    </row>
    <row r="1033" spans="5:26" ht="42" customHeight="1">
      <c r="E1033" s="84"/>
      <c r="F1033" s="84"/>
      <c r="Y1033" s="84"/>
      <c r="Z1033" s="84"/>
    </row>
    <row r="1034" spans="5:26" ht="42" customHeight="1">
      <c r="E1034" s="84"/>
      <c r="F1034" s="84"/>
      <c r="Y1034" s="84"/>
      <c r="Z1034" s="84"/>
    </row>
    <row r="1035" spans="5:26" ht="42" customHeight="1">
      <c r="E1035" s="84"/>
      <c r="F1035" s="84"/>
      <c r="Y1035" s="84"/>
      <c r="Z1035" s="84"/>
    </row>
    <row r="1036" spans="5:26" ht="42" customHeight="1">
      <c r="E1036" s="84"/>
      <c r="F1036" s="84"/>
      <c r="Y1036" s="84"/>
      <c r="Z1036" s="84"/>
    </row>
    <row r="1037" spans="5:26" ht="42" customHeight="1">
      <c r="E1037" s="84"/>
      <c r="F1037" s="84"/>
      <c r="Y1037" s="84"/>
      <c r="Z1037" s="84"/>
    </row>
    <row r="1038" spans="5:26" ht="42" customHeight="1">
      <c r="E1038" s="84"/>
      <c r="F1038" s="84"/>
      <c r="Y1038" s="84"/>
      <c r="Z1038" s="84"/>
    </row>
    <row r="1039" spans="5:26" ht="42" customHeight="1">
      <c r="E1039" s="84"/>
      <c r="F1039" s="84"/>
      <c r="Y1039" s="84"/>
      <c r="Z1039" s="84"/>
    </row>
    <row r="1040" spans="5:26" ht="42" customHeight="1">
      <c r="E1040" s="84"/>
      <c r="F1040" s="84"/>
      <c r="Y1040" s="84"/>
      <c r="Z1040" s="84"/>
    </row>
    <row r="1041" spans="5:26" ht="42" customHeight="1">
      <c r="E1041" s="84"/>
      <c r="F1041" s="84"/>
      <c r="Y1041" s="84"/>
      <c r="Z1041" s="84"/>
    </row>
    <row r="1042" spans="5:26" ht="42" customHeight="1">
      <c r="E1042" s="84"/>
      <c r="F1042" s="84"/>
      <c r="Y1042" s="84"/>
      <c r="Z1042" s="84"/>
    </row>
    <row r="1043" spans="5:26" ht="42" customHeight="1">
      <c r="E1043" s="84"/>
      <c r="F1043" s="84"/>
      <c r="Y1043" s="84"/>
      <c r="Z1043" s="84"/>
    </row>
    <row r="1044" spans="5:26" ht="42" customHeight="1">
      <c r="E1044" s="84"/>
      <c r="F1044" s="84"/>
      <c r="Y1044" s="84"/>
      <c r="Z1044" s="84"/>
    </row>
    <row r="1045" spans="5:26" ht="42" customHeight="1">
      <c r="E1045" s="84"/>
      <c r="F1045" s="84"/>
      <c r="Y1045" s="84"/>
      <c r="Z1045" s="84"/>
    </row>
    <row r="1046" spans="5:26" ht="42" customHeight="1">
      <c r="E1046" s="84"/>
      <c r="F1046" s="84"/>
      <c r="Y1046" s="84"/>
      <c r="Z1046" s="84"/>
    </row>
    <row r="1047" spans="5:26" ht="42" customHeight="1">
      <c r="E1047" s="84"/>
      <c r="F1047" s="84"/>
      <c r="Y1047" s="84"/>
      <c r="Z1047" s="84"/>
    </row>
    <row r="1048" spans="5:26" ht="42" customHeight="1">
      <c r="E1048" s="84"/>
      <c r="F1048" s="84"/>
      <c r="Y1048" s="84"/>
      <c r="Z1048" s="84"/>
    </row>
    <row r="1049" spans="5:26" ht="42" customHeight="1">
      <c r="E1049" s="84"/>
      <c r="F1049" s="84"/>
      <c r="Y1049" s="84"/>
      <c r="Z1049" s="84"/>
    </row>
    <row r="1050" spans="5:26" ht="42" customHeight="1">
      <c r="E1050" s="84"/>
      <c r="F1050" s="84"/>
      <c r="Y1050" s="84"/>
      <c r="Z1050" s="84"/>
    </row>
    <row r="1051" spans="5:26" ht="42" customHeight="1">
      <c r="E1051" s="84"/>
      <c r="F1051" s="84"/>
      <c r="Y1051" s="84"/>
      <c r="Z1051" s="84"/>
    </row>
    <row r="1052" spans="5:26" ht="42" customHeight="1">
      <c r="E1052" s="84"/>
      <c r="F1052" s="84"/>
      <c r="Y1052" s="84"/>
      <c r="Z1052" s="84"/>
    </row>
    <row r="1053" spans="5:26" ht="42" customHeight="1">
      <c r="E1053" s="84"/>
      <c r="F1053" s="84"/>
      <c r="Y1053" s="84"/>
      <c r="Z1053" s="84"/>
    </row>
    <row r="1054" spans="5:26" ht="42" customHeight="1">
      <c r="E1054" s="84"/>
      <c r="F1054" s="84"/>
      <c r="Y1054" s="84"/>
      <c r="Z1054" s="84"/>
    </row>
    <row r="1055" spans="5:26" ht="42" customHeight="1">
      <c r="E1055" s="84"/>
      <c r="F1055" s="84"/>
      <c r="Y1055" s="84"/>
      <c r="Z1055" s="84"/>
    </row>
    <row r="1056" spans="5:26" ht="42" customHeight="1">
      <c r="E1056" s="84"/>
      <c r="F1056" s="84"/>
      <c r="Y1056" s="84"/>
      <c r="Z1056" s="84"/>
    </row>
    <row r="1057" spans="5:26" ht="42" customHeight="1">
      <c r="E1057" s="84"/>
      <c r="F1057" s="84"/>
      <c r="Y1057" s="84"/>
      <c r="Z1057" s="84"/>
    </row>
    <row r="1058" spans="5:26" ht="42" customHeight="1">
      <c r="E1058" s="84"/>
      <c r="F1058" s="84"/>
      <c r="Y1058" s="84"/>
      <c r="Z1058" s="84"/>
    </row>
    <row r="1059" spans="5:26" ht="42" customHeight="1">
      <c r="E1059" s="84"/>
      <c r="F1059" s="84"/>
      <c r="Y1059" s="84"/>
      <c r="Z1059" s="84"/>
    </row>
    <row r="1060" spans="5:26" ht="42" customHeight="1">
      <c r="E1060" s="84"/>
      <c r="F1060" s="84"/>
      <c r="Y1060" s="84"/>
      <c r="Z1060" s="84"/>
    </row>
    <row r="1061" spans="5:26" ht="42" customHeight="1">
      <c r="E1061" s="84"/>
      <c r="F1061" s="84"/>
      <c r="Y1061" s="84"/>
      <c r="Z1061" s="84"/>
    </row>
    <row r="1062" spans="5:26" ht="42" customHeight="1">
      <c r="E1062" s="84"/>
      <c r="F1062" s="84"/>
      <c r="Y1062" s="84"/>
      <c r="Z1062" s="84"/>
    </row>
    <row r="1063" spans="5:26" ht="42" customHeight="1">
      <c r="E1063" s="84"/>
      <c r="F1063" s="84"/>
      <c r="Y1063" s="84"/>
      <c r="Z1063" s="84"/>
    </row>
    <row r="1064" spans="5:26" ht="42" customHeight="1">
      <c r="E1064" s="84"/>
      <c r="F1064" s="84"/>
      <c r="Y1064" s="84"/>
      <c r="Z1064" s="84"/>
    </row>
    <row r="1065" spans="5:26" ht="42" customHeight="1">
      <c r="E1065" s="84"/>
      <c r="F1065" s="84"/>
      <c r="Y1065" s="84"/>
      <c r="Z1065" s="84"/>
    </row>
    <row r="1066" spans="5:26" ht="42" customHeight="1">
      <c r="E1066" s="84"/>
      <c r="F1066" s="84"/>
      <c r="Y1066" s="84"/>
      <c r="Z1066" s="84"/>
    </row>
    <row r="1067" spans="5:26" ht="42" customHeight="1">
      <c r="E1067" s="84"/>
      <c r="F1067" s="84"/>
      <c r="Y1067" s="84"/>
      <c r="Z1067" s="84"/>
    </row>
    <row r="1068" spans="5:26" ht="42" customHeight="1">
      <c r="E1068" s="84"/>
      <c r="F1068" s="84"/>
      <c r="Y1068" s="84"/>
      <c r="Z1068" s="84"/>
    </row>
    <row r="1069" spans="5:26" ht="42" customHeight="1">
      <c r="E1069" s="84"/>
      <c r="F1069" s="84"/>
      <c r="Y1069" s="84"/>
      <c r="Z1069" s="84"/>
    </row>
    <row r="1070" spans="5:26" ht="42" customHeight="1">
      <c r="E1070" s="84"/>
      <c r="F1070" s="84"/>
      <c r="Y1070" s="84"/>
      <c r="Z1070" s="84"/>
    </row>
    <row r="1071" spans="5:26" ht="42" customHeight="1">
      <c r="E1071" s="84"/>
      <c r="F1071" s="84"/>
      <c r="Y1071" s="84"/>
      <c r="Z1071" s="84"/>
    </row>
    <row r="1072" spans="5:26" ht="42" customHeight="1">
      <c r="E1072" s="84"/>
      <c r="F1072" s="84"/>
      <c r="Y1072" s="84"/>
      <c r="Z1072" s="84"/>
    </row>
    <row r="1073" spans="5:26" ht="42" customHeight="1">
      <c r="E1073" s="84"/>
      <c r="F1073" s="84"/>
      <c r="Y1073" s="84"/>
      <c r="Z1073" s="84"/>
    </row>
    <row r="1074" spans="5:26" ht="42" customHeight="1">
      <c r="E1074" s="84"/>
      <c r="F1074" s="84"/>
      <c r="Y1074" s="84"/>
      <c r="Z1074" s="84"/>
    </row>
    <row r="1075" spans="5:26" ht="42" customHeight="1">
      <c r="E1075" s="84"/>
      <c r="F1075" s="84"/>
      <c r="Y1075" s="84"/>
      <c r="Z1075" s="84"/>
    </row>
    <row r="1076" spans="5:26" ht="42" customHeight="1">
      <c r="E1076" s="84"/>
      <c r="F1076" s="84"/>
      <c r="Y1076" s="84"/>
      <c r="Z1076" s="84"/>
    </row>
    <row r="1077" spans="5:26" ht="42" customHeight="1">
      <c r="E1077" s="84"/>
      <c r="F1077" s="84"/>
      <c r="Y1077" s="84"/>
      <c r="Z1077" s="84"/>
    </row>
    <row r="1078" spans="5:26" ht="42" customHeight="1">
      <c r="E1078" s="84"/>
      <c r="F1078" s="84"/>
      <c r="Y1078" s="84"/>
      <c r="Z1078" s="84"/>
    </row>
    <row r="1079" spans="5:26" ht="42" customHeight="1">
      <c r="E1079" s="84"/>
      <c r="F1079" s="84"/>
      <c r="Y1079" s="84"/>
      <c r="Z1079" s="84"/>
    </row>
    <row r="1080" spans="5:26" ht="42" customHeight="1">
      <c r="E1080" s="84"/>
      <c r="F1080" s="84"/>
      <c r="Y1080" s="84"/>
      <c r="Z1080" s="84"/>
    </row>
    <row r="1081" spans="5:26" ht="42" customHeight="1">
      <c r="E1081" s="84"/>
      <c r="F1081" s="84"/>
      <c r="Y1081" s="84"/>
      <c r="Z1081" s="84"/>
    </row>
    <row r="1082" spans="5:26" ht="42" customHeight="1">
      <c r="E1082" s="84"/>
      <c r="F1082" s="84"/>
      <c r="Y1082" s="84"/>
      <c r="Z1082" s="84"/>
    </row>
    <row r="1083" spans="5:26" ht="42" customHeight="1">
      <c r="E1083" s="84"/>
      <c r="F1083" s="84"/>
      <c r="Y1083" s="84"/>
      <c r="Z1083" s="84"/>
    </row>
    <row r="1084" spans="5:26" ht="42" customHeight="1">
      <c r="E1084" s="84"/>
      <c r="F1084" s="84"/>
      <c r="Y1084" s="84"/>
      <c r="Z1084" s="84"/>
    </row>
    <row r="1085" spans="5:26" ht="42" customHeight="1">
      <c r="E1085" s="84"/>
      <c r="F1085" s="84"/>
      <c r="Y1085" s="84"/>
      <c r="Z1085" s="84"/>
    </row>
    <row r="1086" spans="5:26" ht="42" customHeight="1">
      <c r="E1086" s="84"/>
      <c r="F1086" s="84"/>
      <c r="Y1086" s="84"/>
      <c r="Z1086" s="84"/>
    </row>
    <row r="1087" spans="5:26" ht="42" customHeight="1">
      <c r="E1087" s="84"/>
      <c r="F1087" s="84"/>
      <c r="Y1087" s="84"/>
      <c r="Z1087" s="84"/>
    </row>
    <row r="1088" spans="5:26" ht="42" customHeight="1">
      <c r="E1088" s="84"/>
      <c r="F1088" s="84"/>
      <c r="Y1088" s="84"/>
      <c r="Z1088" s="84"/>
    </row>
    <row r="1089" spans="5:26" ht="42" customHeight="1">
      <c r="E1089" s="84"/>
      <c r="F1089" s="84"/>
      <c r="Y1089" s="84"/>
      <c r="Z1089" s="84"/>
    </row>
    <row r="1090" spans="5:26" ht="42" customHeight="1">
      <c r="E1090" s="84"/>
      <c r="F1090" s="84"/>
      <c r="Y1090" s="84"/>
      <c r="Z1090" s="84"/>
    </row>
    <row r="1091" spans="5:26" ht="42" customHeight="1">
      <c r="E1091" s="84"/>
      <c r="F1091" s="84"/>
      <c r="Y1091" s="84"/>
      <c r="Z1091" s="84"/>
    </row>
    <row r="1092" spans="5:26" ht="42" customHeight="1">
      <c r="E1092" s="84"/>
      <c r="F1092" s="84"/>
      <c r="Y1092" s="84"/>
      <c r="Z1092" s="84"/>
    </row>
    <row r="1093" spans="5:26" ht="42" customHeight="1">
      <c r="E1093" s="84"/>
      <c r="F1093" s="84"/>
      <c r="Y1093" s="84"/>
      <c r="Z1093" s="84"/>
    </row>
    <row r="1094" spans="5:26" ht="42" customHeight="1">
      <c r="E1094" s="84"/>
      <c r="F1094" s="84"/>
      <c r="Y1094" s="84"/>
      <c r="Z1094" s="84"/>
    </row>
    <row r="1095" spans="5:26" ht="42" customHeight="1">
      <c r="E1095" s="84"/>
      <c r="F1095" s="84"/>
      <c r="Y1095" s="84"/>
      <c r="Z1095" s="84"/>
    </row>
    <row r="1096" spans="5:26" ht="42" customHeight="1">
      <c r="E1096" s="84"/>
      <c r="F1096" s="84"/>
      <c r="Y1096" s="84"/>
      <c r="Z1096" s="84"/>
    </row>
    <row r="1097" spans="5:26" ht="42" customHeight="1">
      <c r="E1097" s="84"/>
      <c r="F1097" s="84"/>
      <c r="Y1097" s="84"/>
      <c r="Z1097" s="84"/>
    </row>
    <row r="1098" spans="5:26" ht="42" customHeight="1">
      <c r="E1098" s="84"/>
      <c r="F1098" s="84"/>
      <c r="Y1098" s="84"/>
      <c r="Z1098" s="84"/>
    </row>
    <row r="1099" spans="5:26" ht="42" customHeight="1">
      <c r="E1099" s="84"/>
      <c r="F1099" s="84"/>
      <c r="Y1099" s="84"/>
      <c r="Z1099" s="84"/>
    </row>
    <row r="1100" spans="5:26" ht="42" customHeight="1">
      <c r="E1100" s="84"/>
      <c r="F1100" s="84"/>
      <c r="Y1100" s="84"/>
      <c r="Z1100" s="84"/>
    </row>
    <row r="1101" spans="5:26" ht="42" customHeight="1">
      <c r="E1101" s="84"/>
      <c r="F1101" s="84"/>
      <c r="Y1101" s="84"/>
      <c r="Z1101" s="84"/>
    </row>
    <row r="1102" spans="5:26" ht="42" customHeight="1">
      <c r="E1102" s="84"/>
      <c r="F1102" s="84"/>
      <c r="Y1102" s="84"/>
      <c r="Z1102" s="84"/>
    </row>
    <row r="1103" spans="5:26" ht="42" customHeight="1">
      <c r="E1103" s="84"/>
      <c r="F1103" s="84"/>
      <c r="Y1103" s="84"/>
      <c r="Z1103" s="84"/>
    </row>
    <row r="1104" spans="5:26" ht="42" customHeight="1">
      <c r="E1104" s="84"/>
      <c r="F1104" s="84"/>
      <c r="Y1104" s="84"/>
      <c r="Z1104" s="84"/>
    </row>
    <row r="1105" spans="5:26" ht="42" customHeight="1">
      <c r="E1105" s="84"/>
      <c r="F1105" s="84"/>
      <c r="Y1105" s="84"/>
      <c r="Z1105" s="84"/>
    </row>
    <row r="1106" spans="5:26" ht="42" customHeight="1">
      <c r="E1106" s="84"/>
      <c r="F1106" s="84"/>
      <c r="Y1106" s="84"/>
      <c r="Z1106" s="84"/>
    </row>
    <row r="1107" spans="5:26" ht="42" customHeight="1">
      <c r="E1107" s="84"/>
      <c r="F1107" s="84"/>
      <c r="Y1107" s="84"/>
      <c r="Z1107" s="84"/>
    </row>
    <row r="1108" spans="5:26" ht="42" customHeight="1">
      <c r="E1108" s="84"/>
      <c r="F1108" s="84"/>
      <c r="Y1108" s="84"/>
      <c r="Z1108" s="84"/>
    </row>
    <row r="1109" spans="5:26" ht="42" customHeight="1">
      <c r="E1109" s="84"/>
      <c r="F1109" s="84"/>
      <c r="Y1109" s="84"/>
      <c r="Z1109" s="84"/>
    </row>
    <row r="1110" spans="5:26" ht="42" customHeight="1">
      <c r="E1110" s="84"/>
      <c r="F1110" s="84"/>
      <c r="Y1110" s="84"/>
      <c r="Z1110" s="84"/>
    </row>
    <row r="1111" spans="5:26" ht="42" customHeight="1">
      <c r="E1111" s="84"/>
      <c r="F1111" s="84"/>
      <c r="Y1111" s="84"/>
      <c r="Z1111" s="84"/>
    </row>
    <row r="1112" spans="5:26" ht="42" customHeight="1">
      <c r="E1112" s="84"/>
      <c r="F1112" s="84"/>
      <c r="Y1112" s="84"/>
      <c r="Z1112" s="84"/>
    </row>
    <row r="1113" spans="5:26" ht="42" customHeight="1">
      <c r="E1113" s="84"/>
      <c r="F1113" s="84"/>
      <c r="Y1113" s="84"/>
      <c r="Z1113" s="84"/>
    </row>
    <row r="1114" spans="5:26" ht="42" customHeight="1">
      <c r="E1114" s="84"/>
      <c r="F1114" s="84"/>
      <c r="Y1114" s="84"/>
      <c r="Z1114" s="84"/>
    </row>
    <row r="1115" spans="5:26" ht="42" customHeight="1">
      <c r="E1115" s="84"/>
      <c r="F1115" s="84"/>
      <c r="Y1115" s="84"/>
      <c r="Z1115" s="84"/>
    </row>
    <row r="1116" spans="5:26" ht="42" customHeight="1">
      <c r="E1116" s="84"/>
      <c r="F1116" s="84"/>
      <c r="Y1116" s="84"/>
      <c r="Z1116" s="84"/>
    </row>
    <row r="1117" spans="5:26" ht="42" customHeight="1">
      <c r="E1117" s="84"/>
      <c r="F1117" s="84"/>
      <c r="Y1117" s="84"/>
      <c r="Z1117" s="84"/>
    </row>
    <row r="1118" spans="5:26" ht="42" customHeight="1">
      <c r="E1118" s="84"/>
      <c r="F1118" s="84"/>
      <c r="Y1118" s="84"/>
      <c r="Z1118" s="84"/>
    </row>
    <row r="1119" spans="5:26" ht="42" customHeight="1">
      <c r="E1119" s="84"/>
      <c r="F1119" s="84"/>
      <c r="Y1119" s="84"/>
      <c r="Z1119" s="84"/>
    </row>
    <row r="1120" spans="5:26" ht="42" customHeight="1">
      <c r="E1120" s="84"/>
      <c r="F1120" s="84"/>
      <c r="Y1120" s="84"/>
      <c r="Z1120" s="84"/>
    </row>
    <row r="1121" spans="5:26" ht="42" customHeight="1">
      <c r="E1121" s="84"/>
      <c r="F1121" s="84"/>
      <c r="Y1121" s="84"/>
      <c r="Z1121" s="84"/>
    </row>
    <row r="1122" spans="5:26" ht="42" customHeight="1">
      <c r="E1122" s="84"/>
      <c r="F1122" s="84"/>
      <c r="Y1122" s="84"/>
      <c r="Z1122" s="84"/>
    </row>
    <row r="1123" spans="5:26" ht="42" customHeight="1">
      <c r="E1123" s="84"/>
      <c r="F1123" s="84"/>
      <c r="Y1123" s="84"/>
      <c r="Z1123" s="84"/>
    </row>
    <row r="1124" spans="5:26" ht="42" customHeight="1">
      <c r="E1124" s="84"/>
      <c r="F1124" s="84"/>
      <c r="Y1124" s="84"/>
      <c r="Z1124" s="84"/>
    </row>
    <row r="1125" spans="5:26" ht="42" customHeight="1">
      <c r="E1125" s="84"/>
      <c r="F1125" s="84"/>
      <c r="Y1125" s="84"/>
      <c r="Z1125" s="84"/>
    </row>
    <row r="1126" spans="5:26" ht="42" customHeight="1">
      <c r="E1126" s="84"/>
      <c r="F1126" s="84"/>
      <c r="Y1126" s="84"/>
      <c r="Z1126" s="84"/>
    </row>
    <row r="1127" spans="5:26" ht="42" customHeight="1">
      <c r="E1127" s="84"/>
      <c r="F1127" s="84"/>
      <c r="Y1127" s="84"/>
      <c r="Z1127" s="84"/>
    </row>
    <row r="1128" spans="5:26" ht="42" customHeight="1">
      <c r="E1128" s="84"/>
      <c r="F1128" s="84"/>
      <c r="Y1128" s="84"/>
      <c r="Z1128" s="84"/>
    </row>
    <row r="1129" spans="5:26" ht="42" customHeight="1">
      <c r="E1129" s="84"/>
      <c r="F1129" s="84"/>
      <c r="Y1129" s="84"/>
      <c r="Z1129" s="84"/>
    </row>
    <row r="1130" spans="5:26" ht="42" customHeight="1">
      <c r="E1130" s="84"/>
      <c r="F1130" s="84"/>
      <c r="Y1130" s="84"/>
      <c r="Z1130" s="84"/>
    </row>
    <row r="1131" spans="5:26" ht="42" customHeight="1">
      <c r="E1131" s="84"/>
      <c r="F1131" s="84"/>
      <c r="Y1131" s="84"/>
      <c r="Z1131" s="84"/>
    </row>
    <row r="1132" spans="5:26" ht="42" customHeight="1">
      <c r="E1132" s="84"/>
      <c r="F1132" s="84"/>
      <c r="Y1132" s="84"/>
      <c r="Z1132" s="84"/>
    </row>
    <row r="1133" spans="5:26" ht="42" customHeight="1">
      <c r="E1133" s="84"/>
      <c r="F1133" s="84"/>
      <c r="Y1133" s="84"/>
      <c r="Z1133" s="84"/>
    </row>
    <row r="1134" spans="5:26" ht="42" customHeight="1">
      <c r="E1134" s="84"/>
      <c r="F1134" s="84"/>
      <c r="Y1134" s="84"/>
      <c r="Z1134" s="84"/>
    </row>
    <row r="1135" spans="5:26" ht="42" customHeight="1">
      <c r="E1135" s="84"/>
      <c r="F1135" s="84"/>
      <c r="Y1135" s="84"/>
      <c r="Z1135" s="84"/>
    </row>
    <row r="1136" spans="5:26" ht="42" customHeight="1">
      <c r="E1136" s="84"/>
      <c r="F1136" s="84"/>
      <c r="Y1136" s="84"/>
      <c r="Z1136" s="84"/>
    </row>
    <row r="1137" spans="5:26" ht="42" customHeight="1">
      <c r="E1137" s="84"/>
      <c r="F1137" s="84"/>
      <c r="Y1137" s="84"/>
      <c r="Z1137" s="84"/>
    </row>
    <row r="1138" spans="5:26" ht="42" customHeight="1">
      <c r="E1138" s="84"/>
      <c r="F1138" s="84"/>
      <c r="Y1138" s="84"/>
      <c r="Z1138" s="84"/>
    </row>
    <row r="1139" spans="5:26" ht="42" customHeight="1">
      <c r="E1139" s="84"/>
      <c r="F1139" s="84"/>
      <c r="Y1139" s="84"/>
      <c r="Z1139" s="84"/>
    </row>
    <row r="1140" spans="5:26" ht="42" customHeight="1">
      <c r="E1140" s="84"/>
      <c r="F1140" s="84"/>
      <c r="Y1140" s="84"/>
      <c r="Z1140" s="84"/>
    </row>
    <row r="1141" spans="5:26" ht="42" customHeight="1">
      <c r="E1141" s="84"/>
      <c r="F1141" s="84"/>
      <c r="Y1141" s="84"/>
      <c r="Z1141" s="84"/>
    </row>
    <row r="1142" spans="5:26" ht="42" customHeight="1">
      <c r="E1142" s="84"/>
      <c r="F1142" s="84"/>
      <c r="Y1142" s="84"/>
      <c r="Z1142" s="84"/>
    </row>
    <row r="1143" spans="5:26" ht="42" customHeight="1">
      <c r="E1143" s="84"/>
      <c r="F1143" s="84"/>
      <c r="Y1143" s="84"/>
      <c r="Z1143" s="84"/>
    </row>
    <row r="1144" spans="5:26" ht="42" customHeight="1">
      <c r="E1144" s="84"/>
      <c r="F1144" s="84"/>
      <c r="Y1144" s="84"/>
      <c r="Z1144" s="84"/>
    </row>
    <row r="1145" spans="5:26" ht="42" customHeight="1">
      <c r="E1145" s="84"/>
      <c r="F1145" s="84"/>
      <c r="Y1145" s="84"/>
      <c r="Z1145" s="84"/>
    </row>
    <row r="1146" spans="5:26" ht="42" customHeight="1">
      <c r="E1146" s="84"/>
      <c r="F1146" s="84"/>
      <c r="Y1146" s="84"/>
      <c r="Z1146" s="84"/>
    </row>
    <row r="1147" spans="5:26" ht="42" customHeight="1">
      <c r="E1147" s="84"/>
      <c r="F1147" s="84"/>
      <c r="Y1147" s="84"/>
      <c r="Z1147" s="84"/>
    </row>
    <row r="1148" spans="5:26" ht="42" customHeight="1">
      <c r="E1148" s="84"/>
      <c r="F1148" s="84"/>
      <c r="Y1148" s="84"/>
      <c r="Z1148" s="84"/>
    </row>
    <row r="1149" spans="5:26" ht="42" customHeight="1">
      <c r="E1149" s="84"/>
      <c r="F1149" s="84"/>
      <c r="Y1149" s="84"/>
      <c r="Z1149" s="84"/>
    </row>
    <row r="1150" spans="5:26" ht="42" customHeight="1">
      <c r="E1150" s="84"/>
      <c r="F1150" s="84"/>
      <c r="Y1150" s="84"/>
      <c r="Z1150" s="84"/>
    </row>
    <row r="1151" spans="5:26" ht="42" customHeight="1">
      <c r="E1151" s="84"/>
      <c r="F1151" s="84"/>
      <c r="Y1151" s="84"/>
      <c r="Z1151" s="84"/>
    </row>
    <row r="1152" spans="5:26" ht="42" customHeight="1">
      <c r="E1152" s="84"/>
      <c r="F1152" s="84"/>
      <c r="Y1152" s="84"/>
      <c r="Z1152" s="84"/>
    </row>
    <row r="1153" spans="5:26" ht="42" customHeight="1">
      <c r="E1153" s="84"/>
      <c r="F1153" s="84"/>
      <c r="Y1153" s="84"/>
      <c r="Z1153" s="84"/>
    </row>
    <row r="1154" spans="5:26" ht="42" customHeight="1">
      <c r="E1154" s="84"/>
      <c r="F1154" s="84"/>
      <c r="Y1154" s="84"/>
      <c r="Z1154" s="84"/>
    </row>
    <row r="1155" spans="5:26" ht="42" customHeight="1">
      <c r="E1155" s="84"/>
      <c r="F1155" s="84"/>
      <c r="Y1155" s="84"/>
      <c r="Z1155" s="84"/>
    </row>
    <row r="1156" spans="5:26" ht="42" customHeight="1">
      <c r="E1156" s="84"/>
      <c r="F1156" s="84"/>
      <c r="Y1156" s="84"/>
      <c r="Z1156" s="84"/>
    </row>
    <row r="1157" spans="5:26" ht="42" customHeight="1">
      <c r="E1157" s="84"/>
      <c r="F1157" s="84"/>
      <c r="Y1157" s="84"/>
      <c r="Z1157" s="84"/>
    </row>
    <row r="1158" spans="5:26" ht="42" customHeight="1">
      <c r="E1158" s="84"/>
      <c r="F1158" s="84"/>
      <c r="Y1158" s="84"/>
      <c r="Z1158" s="84"/>
    </row>
    <row r="1159" spans="5:26" ht="42" customHeight="1">
      <c r="E1159" s="84"/>
      <c r="F1159" s="84"/>
      <c r="Y1159" s="84"/>
      <c r="Z1159" s="84"/>
    </row>
    <row r="1160" spans="5:26" ht="42" customHeight="1">
      <c r="E1160" s="84"/>
      <c r="F1160" s="84"/>
      <c r="Y1160" s="84"/>
      <c r="Z1160" s="84"/>
    </row>
    <row r="1161" spans="5:26" ht="42" customHeight="1">
      <c r="E1161" s="84"/>
      <c r="F1161" s="84"/>
      <c r="Y1161" s="84"/>
      <c r="Z1161" s="84"/>
    </row>
    <row r="1162" spans="5:26" ht="42" customHeight="1">
      <c r="E1162" s="84"/>
      <c r="F1162" s="84"/>
      <c r="Y1162" s="84"/>
      <c r="Z1162" s="84"/>
    </row>
    <row r="1163" spans="5:26" ht="42" customHeight="1">
      <c r="E1163" s="84"/>
      <c r="F1163" s="84"/>
      <c r="Y1163" s="84"/>
      <c r="Z1163" s="84"/>
    </row>
    <row r="1164" spans="5:26" ht="42" customHeight="1">
      <c r="E1164" s="84"/>
      <c r="F1164" s="84"/>
      <c r="Y1164" s="84"/>
      <c r="Z1164" s="84"/>
    </row>
    <row r="1165" spans="5:26" ht="42" customHeight="1">
      <c r="E1165" s="84"/>
      <c r="F1165" s="84"/>
      <c r="Y1165" s="84"/>
      <c r="Z1165" s="84"/>
    </row>
    <row r="1166" spans="5:26" ht="42" customHeight="1">
      <c r="E1166" s="84"/>
      <c r="F1166" s="84"/>
      <c r="Y1166" s="84"/>
      <c r="Z1166" s="84"/>
    </row>
    <row r="1167" spans="5:26" ht="42" customHeight="1">
      <c r="E1167" s="84"/>
      <c r="F1167" s="84"/>
      <c r="Y1167" s="84"/>
      <c r="Z1167" s="84"/>
    </row>
    <row r="1168" spans="5:26" ht="42" customHeight="1">
      <c r="E1168" s="84"/>
      <c r="F1168" s="84"/>
      <c r="Y1168" s="84"/>
      <c r="Z1168" s="84"/>
    </row>
    <row r="1169" spans="5:26" ht="42" customHeight="1">
      <c r="E1169" s="84"/>
      <c r="F1169" s="84"/>
      <c r="Y1169" s="84"/>
      <c r="Z1169" s="84"/>
    </row>
    <row r="1170" spans="5:26" ht="42" customHeight="1">
      <c r="E1170" s="84"/>
      <c r="F1170" s="84"/>
      <c r="Y1170" s="84"/>
      <c r="Z1170" s="84"/>
    </row>
    <row r="1171" spans="5:26" ht="42" customHeight="1">
      <c r="E1171" s="84"/>
      <c r="F1171" s="84"/>
      <c r="Y1171" s="84"/>
      <c r="Z1171" s="84"/>
    </row>
    <row r="1172" spans="5:26" ht="42" customHeight="1">
      <c r="E1172" s="84"/>
      <c r="F1172" s="84"/>
      <c r="Y1172" s="84"/>
      <c r="Z1172" s="84"/>
    </row>
    <row r="1173" spans="5:26" ht="42" customHeight="1">
      <c r="E1173" s="84"/>
      <c r="F1173" s="84"/>
      <c r="Y1173" s="84"/>
      <c r="Z1173" s="84"/>
    </row>
    <row r="1174" spans="5:26" ht="42" customHeight="1">
      <c r="E1174" s="84"/>
      <c r="F1174" s="84"/>
      <c r="Y1174" s="84"/>
      <c r="Z1174" s="84"/>
    </row>
    <row r="1175" spans="5:26" ht="42" customHeight="1">
      <c r="E1175" s="84"/>
      <c r="F1175" s="84"/>
      <c r="Y1175" s="84"/>
      <c r="Z1175" s="84"/>
    </row>
    <row r="1176" spans="5:26" ht="42" customHeight="1">
      <c r="E1176" s="84"/>
      <c r="F1176" s="84"/>
      <c r="Y1176" s="84"/>
      <c r="Z1176" s="84"/>
    </row>
    <row r="1177" spans="5:26" ht="42" customHeight="1">
      <c r="E1177" s="84"/>
      <c r="F1177" s="84"/>
      <c r="Y1177" s="84"/>
      <c r="Z1177" s="84"/>
    </row>
    <row r="1178" spans="5:26" ht="42" customHeight="1">
      <c r="E1178" s="84"/>
      <c r="F1178" s="84"/>
      <c r="Y1178" s="84"/>
      <c r="Z1178" s="84"/>
    </row>
    <row r="1179" spans="5:26" ht="42" customHeight="1">
      <c r="E1179" s="84"/>
      <c r="F1179" s="84"/>
      <c r="Y1179" s="84"/>
      <c r="Z1179" s="84"/>
    </row>
    <row r="1180" spans="5:26" ht="42" customHeight="1">
      <c r="E1180" s="84"/>
      <c r="F1180" s="84"/>
      <c r="Y1180" s="84"/>
      <c r="Z1180" s="84"/>
    </row>
    <row r="1181" spans="5:26" ht="42" customHeight="1">
      <c r="E1181" s="84"/>
      <c r="F1181" s="84"/>
      <c r="Y1181" s="84"/>
      <c r="Z1181" s="84"/>
    </row>
    <row r="1182" spans="5:26" ht="42" customHeight="1">
      <c r="E1182" s="84"/>
      <c r="F1182" s="84"/>
      <c r="Y1182" s="84"/>
      <c r="Z1182" s="84"/>
    </row>
    <row r="1183" spans="5:26" ht="42" customHeight="1">
      <c r="E1183" s="84"/>
      <c r="F1183" s="84"/>
      <c r="Y1183" s="84"/>
      <c r="Z1183" s="84"/>
    </row>
    <row r="1184" spans="5:26" ht="42" customHeight="1">
      <c r="E1184" s="84"/>
      <c r="F1184" s="84"/>
      <c r="Y1184" s="84"/>
      <c r="Z1184" s="84"/>
    </row>
    <row r="1185" spans="5:26" ht="42" customHeight="1">
      <c r="E1185" s="84"/>
      <c r="F1185" s="84"/>
      <c r="Y1185" s="84"/>
      <c r="Z1185" s="84"/>
    </row>
    <row r="1186" spans="5:26" ht="42" customHeight="1">
      <c r="E1186" s="84"/>
      <c r="F1186" s="84"/>
      <c r="Y1186" s="84"/>
      <c r="Z1186" s="84"/>
    </row>
    <row r="1187" spans="5:26" ht="42" customHeight="1">
      <c r="E1187" s="84"/>
      <c r="F1187" s="84"/>
      <c r="Y1187" s="84"/>
      <c r="Z1187" s="84"/>
    </row>
    <row r="1188" spans="5:26" ht="42" customHeight="1">
      <c r="E1188" s="84"/>
      <c r="F1188" s="84"/>
      <c r="Y1188" s="84"/>
      <c r="Z1188" s="84"/>
    </row>
    <row r="1189" spans="5:26" ht="42" customHeight="1">
      <c r="E1189" s="84"/>
      <c r="F1189" s="84"/>
      <c r="Y1189" s="84"/>
      <c r="Z1189" s="84"/>
    </row>
    <row r="1190" spans="5:26" ht="42" customHeight="1">
      <c r="E1190" s="84"/>
      <c r="F1190" s="84"/>
      <c r="Y1190" s="84"/>
      <c r="Z1190" s="84"/>
    </row>
    <row r="1191" spans="5:26" ht="42" customHeight="1">
      <c r="E1191" s="84"/>
      <c r="F1191" s="84"/>
      <c r="Y1191" s="84"/>
      <c r="Z1191" s="84"/>
    </row>
    <row r="1192" spans="5:26" ht="42" customHeight="1">
      <c r="E1192" s="84"/>
      <c r="F1192" s="84"/>
      <c r="Y1192" s="84"/>
      <c r="Z1192" s="84"/>
    </row>
    <row r="1193" spans="5:26" ht="42" customHeight="1">
      <c r="E1193" s="84"/>
      <c r="F1193" s="84"/>
      <c r="Y1193" s="84"/>
      <c r="Z1193" s="84"/>
    </row>
    <row r="1194" spans="5:26" ht="42" customHeight="1">
      <c r="E1194" s="84"/>
      <c r="F1194" s="84"/>
      <c r="Y1194" s="84"/>
      <c r="Z1194" s="84"/>
    </row>
    <row r="1195" spans="5:26" ht="42" customHeight="1">
      <c r="E1195" s="84"/>
      <c r="F1195" s="84"/>
      <c r="Y1195" s="84"/>
      <c r="Z1195" s="84"/>
    </row>
    <row r="1196" spans="5:26" ht="42" customHeight="1">
      <c r="E1196" s="84"/>
      <c r="F1196" s="84"/>
      <c r="Y1196" s="84"/>
      <c r="Z1196" s="84"/>
    </row>
    <row r="1197" spans="5:26" ht="42" customHeight="1">
      <c r="E1197" s="84"/>
      <c r="F1197" s="84"/>
      <c r="Y1197" s="84"/>
      <c r="Z1197" s="84"/>
    </row>
    <row r="1198" spans="5:26" ht="42" customHeight="1">
      <c r="E1198" s="84"/>
      <c r="F1198" s="84"/>
      <c r="Y1198" s="84"/>
      <c r="Z1198" s="84"/>
    </row>
    <row r="1199" spans="5:26" ht="42" customHeight="1">
      <c r="E1199" s="84"/>
      <c r="F1199" s="84"/>
      <c r="Y1199" s="84"/>
      <c r="Z1199" s="84"/>
    </row>
    <row r="1200" spans="5:26" ht="42" customHeight="1">
      <c r="E1200" s="84"/>
      <c r="F1200" s="84"/>
      <c r="Y1200" s="84"/>
      <c r="Z1200" s="84"/>
    </row>
    <row r="1201" spans="5:26" ht="42" customHeight="1">
      <c r="E1201" s="84"/>
      <c r="F1201" s="84"/>
      <c r="Y1201" s="84"/>
      <c r="Z1201" s="84"/>
    </row>
    <row r="1202" spans="5:26" ht="42" customHeight="1">
      <c r="E1202" s="84"/>
      <c r="F1202" s="84"/>
      <c r="Y1202" s="84"/>
      <c r="Z1202" s="84"/>
    </row>
    <row r="1203" spans="5:26" ht="42" customHeight="1">
      <c r="E1203" s="84"/>
      <c r="F1203" s="84"/>
      <c r="Y1203" s="84"/>
      <c r="Z1203" s="84"/>
    </row>
    <row r="1204" spans="5:26" ht="42" customHeight="1">
      <c r="E1204" s="84"/>
      <c r="F1204" s="84"/>
      <c r="Y1204" s="84"/>
      <c r="Z1204" s="84"/>
    </row>
    <row r="1205" spans="5:26" ht="42" customHeight="1">
      <c r="E1205" s="84"/>
      <c r="F1205" s="84"/>
      <c r="Y1205" s="84"/>
      <c r="Z1205" s="84"/>
    </row>
    <row r="1206" spans="5:26" ht="42" customHeight="1">
      <c r="E1206" s="84"/>
      <c r="F1206" s="84"/>
      <c r="Y1206" s="84"/>
      <c r="Z1206" s="84"/>
    </row>
    <row r="1207" spans="5:26" ht="42" customHeight="1">
      <c r="E1207" s="84"/>
      <c r="F1207" s="84"/>
      <c r="Y1207" s="84"/>
      <c r="Z1207" s="84"/>
    </row>
    <row r="1208" spans="5:26" ht="42" customHeight="1">
      <c r="E1208" s="84"/>
      <c r="F1208" s="84"/>
      <c r="Y1208" s="84"/>
      <c r="Z1208" s="84"/>
    </row>
    <row r="1209" spans="5:26" ht="42" customHeight="1">
      <c r="E1209" s="84"/>
      <c r="F1209" s="84"/>
      <c r="Y1209" s="84"/>
      <c r="Z1209" s="84"/>
    </row>
    <row r="1210" spans="5:26" ht="42" customHeight="1">
      <c r="E1210" s="84"/>
      <c r="F1210" s="84"/>
      <c r="Y1210" s="84"/>
      <c r="Z1210" s="84"/>
    </row>
    <row r="1211" spans="5:26" ht="42" customHeight="1">
      <c r="E1211" s="84"/>
      <c r="F1211" s="84"/>
      <c r="Y1211" s="84"/>
      <c r="Z1211" s="84"/>
    </row>
    <row r="1212" spans="5:26" ht="42" customHeight="1">
      <c r="E1212" s="84"/>
      <c r="F1212" s="84"/>
      <c r="Y1212" s="84"/>
      <c r="Z1212" s="84"/>
    </row>
    <row r="1213" spans="5:26" ht="42" customHeight="1">
      <c r="E1213" s="84"/>
      <c r="F1213" s="84"/>
      <c r="Y1213" s="84"/>
      <c r="Z1213" s="84"/>
    </row>
    <row r="1214" spans="5:26" ht="42" customHeight="1">
      <c r="E1214" s="84"/>
      <c r="F1214" s="84"/>
      <c r="Y1214" s="84"/>
      <c r="Z1214" s="84"/>
    </row>
    <row r="1215" spans="5:26" ht="42" customHeight="1">
      <c r="E1215" s="84"/>
      <c r="F1215" s="84"/>
      <c r="Y1215" s="84"/>
      <c r="Z1215" s="84"/>
    </row>
    <row r="1216" spans="5:26" ht="42" customHeight="1">
      <c r="E1216" s="84"/>
      <c r="F1216" s="84"/>
      <c r="Y1216" s="84"/>
      <c r="Z1216" s="84"/>
    </row>
    <row r="1217" spans="5:26" ht="42" customHeight="1">
      <c r="E1217" s="84"/>
      <c r="F1217" s="84"/>
      <c r="Y1217" s="84"/>
      <c r="Z1217" s="84"/>
    </row>
    <row r="1218" spans="5:26" ht="42" customHeight="1">
      <c r="E1218" s="84"/>
      <c r="F1218" s="84"/>
      <c r="Y1218" s="84"/>
      <c r="Z1218" s="84"/>
    </row>
    <row r="1219" spans="5:26" ht="42" customHeight="1">
      <c r="E1219" s="84"/>
      <c r="F1219" s="84"/>
      <c r="Y1219" s="84"/>
      <c r="Z1219" s="84"/>
    </row>
    <row r="1220" spans="5:26" ht="42" customHeight="1">
      <c r="E1220" s="84"/>
      <c r="F1220" s="84"/>
      <c r="Y1220" s="84"/>
      <c r="Z1220" s="84"/>
    </row>
    <row r="1221" spans="5:26" ht="42" customHeight="1">
      <c r="E1221" s="84"/>
      <c r="F1221" s="84"/>
      <c r="Y1221" s="84"/>
      <c r="Z1221" s="84"/>
    </row>
    <row r="1222" spans="5:26" ht="42" customHeight="1">
      <c r="E1222" s="84"/>
      <c r="F1222" s="84"/>
      <c r="Y1222" s="84"/>
      <c r="Z1222" s="84"/>
    </row>
    <row r="1223" spans="5:26" ht="42" customHeight="1">
      <c r="E1223" s="84"/>
      <c r="F1223" s="84"/>
      <c r="Y1223" s="84"/>
      <c r="Z1223" s="84"/>
    </row>
    <row r="1224" spans="5:26" ht="42" customHeight="1">
      <c r="E1224" s="84"/>
      <c r="F1224" s="84"/>
      <c r="Y1224" s="84"/>
      <c r="Z1224" s="84"/>
    </row>
    <row r="1225" spans="5:26" ht="42" customHeight="1">
      <c r="E1225" s="84"/>
      <c r="F1225" s="84"/>
      <c r="Y1225" s="84"/>
      <c r="Z1225" s="84"/>
    </row>
    <row r="1226" spans="5:26" ht="42" customHeight="1">
      <c r="E1226" s="84"/>
      <c r="F1226" s="84"/>
      <c r="Y1226" s="84"/>
      <c r="Z1226" s="84"/>
    </row>
    <row r="1227" spans="5:26" ht="42" customHeight="1">
      <c r="E1227" s="84"/>
      <c r="F1227" s="84"/>
      <c r="Y1227" s="84"/>
      <c r="Z1227" s="84"/>
    </row>
    <row r="1228" spans="5:26" ht="42" customHeight="1">
      <c r="E1228" s="84"/>
      <c r="F1228" s="84"/>
      <c r="Y1228" s="84"/>
      <c r="Z1228" s="84"/>
    </row>
    <row r="1229" spans="5:26" ht="42" customHeight="1">
      <c r="E1229" s="84"/>
      <c r="F1229" s="84"/>
      <c r="Y1229" s="84"/>
      <c r="Z1229" s="84"/>
    </row>
    <row r="1230" spans="5:26" ht="42" customHeight="1">
      <c r="E1230" s="84"/>
      <c r="F1230" s="84"/>
      <c r="Y1230" s="84"/>
      <c r="Z1230" s="84"/>
    </row>
    <row r="1231" spans="5:26" ht="42" customHeight="1">
      <c r="E1231" s="84"/>
      <c r="F1231" s="84"/>
      <c r="Y1231" s="84"/>
      <c r="Z1231" s="84"/>
    </row>
    <row r="1232" spans="5:26" ht="42" customHeight="1">
      <c r="E1232" s="84"/>
      <c r="F1232" s="84"/>
      <c r="Y1232" s="84"/>
      <c r="Z1232" s="84"/>
    </row>
    <row r="1233" spans="5:26" ht="42" customHeight="1">
      <c r="E1233" s="84"/>
      <c r="F1233" s="84"/>
      <c r="Y1233" s="84"/>
      <c r="Z1233" s="84"/>
    </row>
    <row r="1234" spans="5:26" ht="42" customHeight="1">
      <c r="E1234" s="84"/>
      <c r="F1234" s="84"/>
      <c r="Y1234" s="84"/>
      <c r="Z1234" s="84"/>
    </row>
    <row r="1235" spans="5:26" ht="42" customHeight="1">
      <c r="E1235" s="84"/>
      <c r="F1235" s="84"/>
      <c r="Y1235" s="84"/>
      <c r="Z1235" s="84"/>
    </row>
    <row r="1236" spans="5:26" ht="42" customHeight="1">
      <c r="E1236" s="84"/>
      <c r="F1236" s="84"/>
      <c r="Y1236" s="84"/>
      <c r="Z1236" s="84"/>
    </row>
    <row r="1237" spans="5:26" ht="42" customHeight="1">
      <c r="E1237" s="84"/>
      <c r="F1237" s="84"/>
      <c r="Y1237" s="84"/>
      <c r="Z1237" s="84"/>
    </row>
    <row r="1238" spans="5:26" ht="42" customHeight="1">
      <c r="E1238" s="84"/>
      <c r="F1238" s="84"/>
      <c r="Y1238" s="84"/>
      <c r="Z1238" s="84"/>
    </row>
    <row r="1239" spans="5:26" ht="42" customHeight="1">
      <c r="E1239" s="84"/>
      <c r="F1239" s="84"/>
      <c r="Y1239" s="84"/>
      <c r="Z1239" s="84"/>
    </row>
    <row r="1240" spans="5:26" ht="42" customHeight="1">
      <c r="E1240" s="84"/>
      <c r="F1240" s="84"/>
      <c r="Y1240" s="84"/>
      <c r="Z1240" s="84"/>
    </row>
    <row r="1241" spans="5:26" ht="42" customHeight="1">
      <c r="E1241" s="84"/>
      <c r="F1241" s="84"/>
      <c r="Y1241" s="84"/>
      <c r="Z1241" s="84"/>
    </row>
    <row r="1242" spans="5:26" ht="42" customHeight="1">
      <c r="E1242" s="84"/>
      <c r="F1242" s="84"/>
      <c r="Y1242" s="84"/>
      <c r="Z1242" s="84"/>
    </row>
    <row r="1243" spans="5:26" ht="42" customHeight="1">
      <c r="E1243" s="84"/>
      <c r="F1243" s="84"/>
      <c r="Y1243" s="84"/>
      <c r="Z1243" s="84"/>
    </row>
    <row r="1244" spans="5:26" ht="42" customHeight="1">
      <c r="E1244" s="84"/>
      <c r="F1244" s="84"/>
      <c r="Y1244" s="84"/>
      <c r="Z1244" s="84"/>
    </row>
    <row r="1245" spans="5:26" ht="42" customHeight="1">
      <c r="E1245" s="84"/>
      <c r="F1245" s="84"/>
      <c r="Y1245" s="84"/>
      <c r="Z1245" s="84"/>
    </row>
    <row r="1246" spans="5:26" ht="42" customHeight="1">
      <c r="E1246" s="84"/>
      <c r="F1246" s="84"/>
      <c r="Y1246" s="84"/>
      <c r="Z1246" s="84"/>
    </row>
    <row r="1247" spans="5:26" ht="42" customHeight="1">
      <c r="E1247" s="84"/>
      <c r="F1247" s="84"/>
      <c r="Y1247" s="84"/>
      <c r="Z1247" s="84"/>
    </row>
    <row r="1248" spans="5:26" ht="42" customHeight="1">
      <c r="E1248" s="84"/>
      <c r="F1248" s="84"/>
      <c r="Y1248" s="84"/>
      <c r="Z1248" s="84"/>
    </row>
    <row r="1249" spans="5:26" ht="42" customHeight="1">
      <c r="E1249" s="84"/>
      <c r="F1249" s="84"/>
      <c r="Y1249" s="84"/>
      <c r="Z1249" s="84"/>
    </row>
    <row r="1250" spans="5:26" ht="42" customHeight="1">
      <c r="E1250" s="84"/>
      <c r="F1250" s="84"/>
      <c r="Y1250" s="84"/>
      <c r="Z1250" s="84"/>
    </row>
    <row r="1251" spans="5:26" ht="42" customHeight="1">
      <c r="E1251" s="84"/>
      <c r="F1251" s="84"/>
      <c r="Y1251" s="84"/>
      <c r="Z1251" s="84"/>
    </row>
    <row r="1252" spans="5:26" ht="42" customHeight="1">
      <c r="E1252" s="84"/>
      <c r="F1252" s="84"/>
      <c r="Y1252" s="84"/>
      <c r="Z1252" s="84"/>
    </row>
    <row r="1253" spans="5:26" ht="42" customHeight="1">
      <c r="E1253" s="84"/>
      <c r="F1253" s="84"/>
      <c r="Y1253" s="84"/>
      <c r="Z1253" s="84"/>
    </row>
    <row r="1254" spans="5:26" ht="42" customHeight="1">
      <c r="E1254" s="84"/>
      <c r="F1254" s="84"/>
      <c r="Y1254" s="84"/>
      <c r="Z1254" s="84"/>
    </row>
    <row r="1255" spans="5:26" ht="42" customHeight="1">
      <c r="E1255" s="84"/>
      <c r="F1255" s="84"/>
      <c r="Y1255" s="84"/>
      <c r="Z1255" s="84"/>
    </row>
    <row r="1256" spans="5:26" ht="42" customHeight="1">
      <c r="E1256" s="84"/>
      <c r="F1256" s="84"/>
      <c r="Y1256" s="84"/>
      <c r="Z1256" s="84"/>
    </row>
    <row r="1257" spans="5:26" ht="42" customHeight="1">
      <c r="E1257" s="84"/>
      <c r="F1257" s="84"/>
      <c r="Y1257" s="84"/>
      <c r="Z1257" s="84"/>
    </row>
    <row r="1258" spans="5:26" ht="42" customHeight="1">
      <c r="E1258" s="84"/>
      <c r="F1258" s="84"/>
      <c r="Y1258" s="84"/>
      <c r="Z1258" s="84"/>
    </row>
    <row r="1259" spans="5:26" ht="42" customHeight="1">
      <c r="E1259" s="84"/>
      <c r="F1259" s="84"/>
      <c r="Y1259" s="84"/>
      <c r="Z1259" s="84"/>
    </row>
    <row r="1260" spans="5:26" ht="42" customHeight="1">
      <c r="E1260" s="84"/>
      <c r="F1260" s="84"/>
      <c r="Y1260" s="84"/>
      <c r="Z1260" s="84"/>
    </row>
    <row r="1261" spans="5:26" ht="42" customHeight="1">
      <c r="E1261" s="84"/>
      <c r="F1261" s="84"/>
      <c r="Y1261" s="84"/>
      <c r="Z1261" s="84"/>
    </row>
    <row r="1262" spans="5:26" ht="42" customHeight="1">
      <c r="E1262" s="84"/>
      <c r="F1262" s="84"/>
      <c r="Y1262" s="84"/>
      <c r="Z1262" s="84"/>
    </row>
    <row r="1263" spans="5:26" ht="42" customHeight="1">
      <c r="E1263" s="84"/>
      <c r="F1263" s="84"/>
      <c r="Y1263" s="84"/>
      <c r="Z1263" s="84"/>
    </row>
    <row r="1264" spans="5:26" ht="42" customHeight="1">
      <c r="E1264" s="84"/>
      <c r="F1264" s="84"/>
      <c r="Y1264" s="84"/>
      <c r="Z1264" s="84"/>
    </row>
    <row r="1265" spans="5:26" ht="42" customHeight="1">
      <c r="E1265" s="84"/>
      <c r="F1265" s="84"/>
      <c r="Y1265" s="84"/>
      <c r="Z1265" s="84"/>
    </row>
    <row r="1266" spans="5:26" ht="42" customHeight="1">
      <c r="E1266" s="84"/>
      <c r="F1266" s="84"/>
      <c r="Y1266" s="84"/>
      <c r="Z1266" s="84"/>
    </row>
    <row r="1267" spans="5:26" ht="42" customHeight="1">
      <c r="E1267" s="84"/>
      <c r="F1267" s="84"/>
      <c r="Y1267" s="84"/>
      <c r="Z1267" s="84"/>
    </row>
    <row r="1268" spans="5:26" ht="42" customHeight="1">
      <c r="E1268" s="84"/>
      <c r="F1268" s="84"/>
      <c r="Y1268" s="84"/>
      <c r="Z1268" s="84"/>
    </row>
    <row r="1269" spans="5:26" ht="42" customHeight="1">
      <c r="E1269" s="84"/>
      <c r="F1269" s="84"/>
      <c r="Y1269" s="84"/>
      <c r="Z1269" s="84"/>
    </row>
    <row r="1270" spans="5:26" ht="42" customHeight="1">
      <c r="E1270" s="84"/>
      <c r="F1270" s="84"/>
      <c r="Y1270" s="84"/>
      <c r="Z1270" s="84"/>
    </row>
    <row r="1271" spans="5:26" ht="42" customHeight="1">
      <c r="E1271" s="84"/>
      <c r="F1271" s="84"/>
      <c r="Y1271" s="84"/>
      <c r="Z1271" s="84"/>
    </row>
    <row r="1272" spans="5:26" ht="42" customHeight="1">
      <c r="E1272" s="84"/>
      <c r="F1272" s="84"/>
      <c r="Y1272" s="84"/>
      <c r="Z1272" s="84"/>
    </row>
    <row r="1273" spans="5:26" ht="42" customHeight="1">
      <c r="E1273" s="84"/>
      <c r="F1273" s="84"/>
      <c r="Y1273" s="84"/>
      <c r="Z1273" s="84"/>
    </row>
    <row r="1274" spans="5:26" ht="42" customHeight="1">
      <c r="E1274" s="84"/>
      <c r="F1274" s="84"/>
      <c r="Y1274" s="84"/>
      <c r="Z1274" s="84"/>
    </row>
    <row r="1275" spans="5:26" ht="42" customHeight="1">
      <c r="E1275" s="84"/>
      <c r="F1275" s="84"/>
      <c r="Y1275" s="84"/>
      <c r="Z1275" s="84"/>
    </row>
    <row r="1276" spans="5:26" ht="42" customHeight="1">
      <c r="E1276" s="84"/>
      <c r="F1276" s="84"/>
      <c r="Y1276" s="84"/>
      <c r="Z1276" s="84"/>
    </row>
    <row r="1277" spans="5:26" ht="42" customHeight="1">
      <c r="E1277" s="84"/>
      <c r="F1277" s="84"/>
      <c r="Y1277" s="84"/>
      <c r="Z1277" s="84"/>
    </row>
    <row r="1278" spans="5:26" ht="42" customHeight="1">
      <c r="E1278" s="84"/>
      <c r="F1278" s="84"/>
      <c r="Y1278" s="84"/>
      <c r="Z1278" s="84"/>
    </row>
    <row r="1279" spans="5:26" ht="42" customHeight="1">
      <c r="E1279" s="84"/>
      <c r="F1279" s="84"/>
      <c r="Y1279" s="84"/>
      <c r="Z1279" s="84"/>
    </row>
    <row r="1280" spans="5:26" ht="42" customHeight="1">
      <c r="E1280" s="84"/>
      <c r="F1280" s="84"/>
      <c r="Y1280" s="84"/>
      <c r="Z1280" s="84"/>
    </row>
    <row r="1281" spans="5:26" ht="42" customHeight="1">
      <c r="E1281" s="84"/>
      <c r="F1281" s="84"/>
      <c r="Y1281" s="84"/>
      <c r="Z1281" s="84"/>
    </row>
    <row r="1282" spans="5:26" ht="42" customHeight="1">
      <c r="E1282" s="84"/>
      <c r="F1282" s="84"/>
      <c r="Y1282" s="84"/>
      <c r="Z1282" s="84"/>
    </row>
    <row r="1283" spans="5:26" ht="42" customHeight="1">
      <c r="E1283" s="84"/>
      <c r="F1283" s="84"/>
      <c r="Y1283" s="84"/>
      <c r="Z1283" s="84"/>
    </row>
    <row r="1284" spans="5:26" ht="42" customHeight="1">
      <c r="E1284" s="84"/>
      <c r="F1284" s="84"/>
      <c r="Y1284" s="84"/>
      <c r="Z1284" s="84"/>
    </row>
    <row r="1285" spans="5:26" ht="42" customHeight="1">
      <c r="E1285" s="84"/>
      <c r="F1285" s="84"/>
      <c r="Y1285" s="84"/>
      <c r="Z1285" s="84"/>
    </row>
    <row r="1286" spans="5:26" ht="42" customHeight="1">
      <c r="E1286" s="84"/>
      <c r="F1286" s="84"/>
      <c r="Y1286" s="84"/>
      <c r="Z1286" s="84"/>
    </row>
    <row r="1287" spans="5:26" ht="42" customHeight="1">
      <c r="E1287" s="84"/>
      <c r="F1287" s="84"/>
      <c r="Y1287" s="84"/>
      <c r="Z1287" s="84"/>
    </row>
    <row r="1288" spans="5:26" ht="42" customHeight="1">
      <c r="E1288" s="84"/>
      <c r="F1288" s="84"/>
      <c r="Y1288" s="84"/>
      <c r="Z1288" s="84"/>
    </row>
    <row r="1289" spans="5:26" ht="42" customHeight="1">
      <c r="E1289" s="84"/>
      <c r="F1289" s="84"/>
      <c r="Y1289" s="84"/>
      <c r="Z1289" s="84"/>
    </row>
    <row r="1290" spans="5:26" ht="42" customHeight="1">
      <c r="E1290" s="84"/>
      <c r="F1290" s="84"/>
      <c r="Y1290" s="84"/>
      <c r="Z1290" s="84"/>
    </row>
    <row r="1291" spans="5:26" ht="42" customHeight="1">
      <c r="E1291" s="84"/>
      <c r="F1291" s="84"/>
      <c r="Y1291" s="84"/>
      <c r="Z1291" s="84"/>
    </row>
    <row r="1292" spans="5:26" ht="42" customHeight="1">
      <c r="E1292" s="84"/>
      <c r="F1292" s="84"/>
      <c r="Y1292" s="84"/>
      <c r="Z1292" s="84"/>
    </row>
    <row r="1293" spans="5:26" ht="42" customHeight="1">
      <c r="E1293" s="84"/>
      <c r="F1293" s="84"/>
      <c r="Y1293" s="84"/>
      <c r="Z1293" s="84"/>
    </row>
    <row r="1294" spans="5:26" ht="42" customHeight="1">
      <c r="E1294" s="84"/>
      <c r="F1294" s="84"/>
      <c r="Y1294" s="84"/>
      <c r="Z1294" s="84"/>
    </row>
    <row r="1295" spans="5:26" ht="42" customHeight="1">
      <c r="E1295" s="84"/>
      <c r="F1295" s="84"/>
      <c r="Y1295" s="84"/>
      <c r="Z1295" s="84"/>
    </row>
    <row r="1296" spans="5:26" ht="42" customHeight="1">
      <c r="E1296" s="84"/>
      <c r="F1296" s="84"/>
      <c r="Y1296" s="84"/>
      <c r="Z1296" s="84"/>
    </row>
    <row r="1297" spans="5:26" ht="42" customHeight="1">
      <c r="E1297" s="84"/>
      <c r="F1297" s="84"/>
      <c r="Y1297" s="84"/>
      <c r="Z1297" s="84"/>
    </row>
    <row r="1298" spans="5:26" ht="42" customHeight="1">
      <c r="E1298" s="84"/>
      <c r="F1298" s="84"/>
      <c r="Y1298" s="84"/>
      <c r="Z1298" s="84"/>
    </row>
    <row r="1299" spans="5:26" ht="42" customHeight="1">
      <c r="E1299" s="84"/>
      <c r="F1299" s="84"/>
      <c r="Y1299" s="84"/>
      <c r="Z1299" s="84"/>
    </row>
    <row r="1300" spans="5:26" ht="42" customHeight="1">
      <c r="E1300" s="84"/>
      <c r="F1300" s="84"/>
      <c r="Y1300" s="84"/>
      <c r="Z1300" s="84"/>
    </row>
    <row r="1301" spans="5:26" ht="42" customHeight="1">
      <c r="E1301" s="84"/>
      <c r="F1301" s="84"/>
      <c r="Y1301" s="84"/>
      <c r="Z1301" s="84"/>
    </row>
    <row r="1302" spans="5:26" ht="42" customHeight="1">
      <c r="E1302" s="84"/>
      <c r="F1302" s="84"/>
      <c r="Y1302" s="84"/>
      <c r="Z1302" s="84"/>
    </row>
  </sheetData>
  <sheetProtection algorithmName="SHA-512" hashValue="KHFtrQpzsHqWqMA9ahUmX9zlkN+/DjsxJFK2k1ZNo70E0fsTXLnQAR2Jk8FOBk96sOpStlKTN4ifHm1HwoLDsQ==" saltValue="rz8uCjAvyuw+BhIooTPHrw==" spinCount="100000" sheet="1" objects="1" scenarios="1"/>
  <mergeCells count="620">
    <mergeCell ref="A257:A267"/>
    <mergeCell ref="R224:R225"/>
    <mergeCell ref="P230:P231"/>
    <mergeCell ref="R242:R243"/>
    <mergeCell ref="C252:C255"/>
    <mergeCell ref="N252:N255"/>
    <mergeCell ref="O252:O255"/>
    <mergeCell ref="P252:P255"/>
    <mergeCell ref="Q252:Q255"/>
    <mergeCell ref="R252:R255"/>
    <mergeCell ref="B267:D267"/>
    <mergeCell ref="B265:D265"/>
    <mergeCell ref="B263:D263"/>
    <mergeCell ref="B258:D258"/>
    <mergeCell ref="B266:D266"/>
    <mergeCell ref="B264:D264"/>
    <mergeCell ref="B262:D262"/>
    <mergeCell ref="B259:D259"/>
    <mergeCell ref="B260:D260"/>
    <mergeCell ref="B261:D261"/>
    <mergeCell ref="A256:D256"/>
    <mergeCell ref="B257:D257"/>
    <mergeCell ref="A230:A231"/>
    <mergeCell ref="A233:A234"/>
    <mergeCell ref="A248:A250"/>
    <mergeCell ref="B248:B250"/>
    <mergeCell ref="C248:C250"/>
    <mergeCell ref="B135:B136"/>
    <mergeCell ref="N147:N149"/>
    <mergeCell ref="O135:O136"/>
    <mergeCell ref="O147:O149"/>
    <mergeCell ref="O161:O164"/>
    <mergeCell ref="N167:N170"/>
    <mergeCell ref="O167:O170"/>
    <mergeCell ref="C191:C192"/>
    <mergeCell ref="O191:O192"/>
    <mergeCell ref="A137:A139"/>
    <mergeCell ref="A167:A170"/>
    <mergeCell ref="A191:A192"/>
    <mergeCell ref="A215:A216"/>
    <mergeCell ref="B155:B160"/>
    <mergeCell ref="C155:C160"/>
    <mergeCell ref="A140:A142"/>
    <mergeCell ref="B140:B142"/>
    <mergeCell ref="C140:C142"/>
    <mergeCell ref="N140:N142"/>
    <mergeCell ref="O140:O142"/>
    <mergeCell ref="A226:A227"/>
    <mergeCell ref="U224:U225"/>
    <mergeCell ref="T211:T214"/>
    <mergeCell ref="V135:V136"/>
    <mergeCell ref="T248:T250"/>
    <mergeCell ref="U248:U250"/>
    <mergeCell ref="U197:U198"/>
    <mergeCell ref="U147:U149"/>
    <mergeCell ref="U167:U170"/>
    <mergeCell ref="T237:T240"/>
    <mergeCell ref="V209:V231"/>
    <mergeCell ref="V233:V240"/>
    <mergeCell ref="T252:T255"/>
    <mergeCell ref="U252:U255"/>
    <mergeCell ref="V252:V255"/>
    <mergeCell ref="S252:S255"/>
    <mergeCell ref="T197:T198"/>
    <mergeCell ref="V191:V192"/>
    <mergeCell ref="V137:V139"/>
    <mergeCell ref="T140:T142"/>
    <mergeCell ref="V140:V142"/>
    <mergeCell ref="T217:T219"/>
    <mergeCell ref="S224:S225"/>
    <mergeCell ref="T224:T225"/>
    <mergeCell ref="T209:T210"/>
    <mergeCell ref="T215:T216"/>
    <mergeCell ref="S242:S243"/>
    <mergeCell ref="T242:T243"/>
    <mergeCell ref="S140:S142"/>
    <mergeCell ref="V248:V250"/>
    <mergeCell ref="V245:V246"/>
    <mergeCell ref="V147:V149"/>
    <mergeCell ref="U215:U216"/>
    <mergeCell ref="U217:U219"/>
    <mergeCell ref="T155:T160"/>
    <mergeCell ref="T137:T139"/>
    <mergeCell ref="B230:B231"/>
    <mergeCell ref="B211:B214"/>
    <mergeCell ref="N226:N231"/>
    <mergeCell ref="C230:C231"/>
    <mergeCell ref="Q101:Q103"/>
    <mergeCell ref="R101:R103"/>
    <mergeCell ref="S101:S103"/>
    <mergeCell ref="C109:C113"/>
    <mergeCell ref="O109:O113"/>
    <mergeCell ref="P109:P113"/>
    <mergeCell ref="P120:P124"/>
    <mergeCell ref="P135:P136"/>
    <mergeCell ref="N120:N124"/>
    <mergeCell ref="C126:C127"/>
    <mergeCell ref="O126:O127"/>
    <mergeCell ref="C128:C129"/>
    <mergeCell ref="O128:O129"/>
    <mergeCell ref="Q137:Q139"/>
    <mergeCell ref="C161:C164"/>
    <mergeCell ref="Q79:Q80"/>
    <mergeCell ref="R79:R80"/>
    <mergeCell ref="T87:T88"/>
    <mergeCell ref="T89:T90"/>
    <mergeCell ref="T79:T80"/>
    <mergeCell ref="T81:T86"/>
    <mergeCell ref="Q68:Q72"/>
    <mergeCell ref="R68:R72"/>
    <mergeCell ref="Q64:Q67"/>
    <mergeCell ref="R64:R67"/>
    <mergeCell ref="C64:C67"/>
    <mergeCell ref="O64:O67"/>
    <mergeCell ref="P68:P72"/>
    <mergeCell ref="P64:P67"/>
    <mergeCell ref="N64:N67"/>
    <mergeCell ref="V60:V63"/>
    <mergeCell ref="Q54:Q57"/>
    <mergeCell ref="S54:S57"/>
    <mergeCell ref="V58:V59"/>
    <mergeCell ref="R52:R57"/>
    <mergeCell ref="R58:R63"/>
    <mergeCell ref="Q58:Q59"/>
    <mergeCell ref="T52:T53"/>
    <mergeCell ref="Q37:Q39"/>
    <mergeCell ref="R37:R39"/>
    <mergeCell ref="U37:U39"/>
    <mergeCell ref="S37:S39"/>
    <mergeCell ref="T37:T39"/>
    <mergeCell ref="U43:U44"/>
    <mergeCell ref="U46:U51"/>
    <mergeCell ref="S43:S44"/>
    <mergeCell ref="O46:O51"/>
    <mergeCell ref="Q46:Q51"/>
    <mergeCell ref="T43:T44"/>
    <mergeCell ref="A46:A51"/>
    <mergeCell ref="Q135:Q136"/>
    <mergeCell ref="B46:B51"/>
    <mergeCell ref="C46:C51"/>
    <mergeCell ref="A43:A44"/>
    <mergeCell ref="B43:B44"/>
    <mergeCell ref="C43:C44"/>
    <mergeCell ref="R46:R51"/>
    <mergeCell ref="N46:N51"/>
    <mergeCell ref="N43:N44"/>
    <mergeCell ref="B52:B57"/>
    <mergeCell ref="C52:C57"/>
    <mergeCell ref="N52:N57"/>
    <mergeCell ref="O52:O57"/>
    <mergeCell ref="P52:P57"/>
    <mergeCell ref="N58:N63"/>
    <mergeCell ref="O58:O63"/>
    <mergeCell ref="P58:P63"/>
    <mergeCell ref="O120:O124"/>
    <mergeCell ref="P98:P100"/>
    <mergeCell ref="P79:P80"/>
    <mergeCell ref="O101:O103"/>
    <mergeCell ref="P101:P103"/>
    <mergeCell ref="B64:B67"/>
    <mergeCell ref="A52:A57"/>
    <mergeCell ref="Q126:Q127"/>
    <mergeCell ref="A135:A136"/>
    <mergeCell ref="O43:O44"/>
    <mergeCell ref="P43:P44"/>
    <mergeCell ref="Q43:Q44"/>
    <mergeCell ref="P46:P51"/>
    <mergeCell ref="Q60:Q63"/>
    <mergeCell ref="O104:O106"/>
    <mergeCell ref="P104:P106"/>
    <mergeCell ref="Q104:Q106"/>
    <mergeCell ref="C135:C136"/>
    <mergeCell ref="C130:C131"/>
    <mergeCell ref="O130:O131"/>
    <mergeCell ref="N130:N131"/>
    <mergeCell ref="P130:P131"/>
    <mergeCell ref="A126:A127"/>
    <mergeCell ref="B126:B127"/>
    <mergeCell ref="N126:N127"/>
    <mergeCell ref="A92:A94"/>
    <mergeCell ref="B109:B113"/>
    <mergeCell ref="N107:N108"/>
    <mergeCell ref="A101:A103"/>
    <mergeCell ref="A107:A108"/>
    <mergeCell ref="A130:A131"/>
    <mergeCell ref="B130:B131"/>
    <mergeCell ref="A128:A129"/>
    <mergeCell ref="B128:B129"/>
    <mergeCell ref="B120:B124"/>
    <mergeCell ref="C120:C124"/>
    <mergeCell ref="P140:P142"/>
    <mergeCell ref="Q140:Q142"/>
    <mergeCell ref="Q161:Q164"/>
    <mergeCell ref="B161:B164"/>
    <mergeCell ref="N155:N160"/>
    <mergeCell ref="B137:B139"/>
    <mergeCell ref="C137:C139"/>
    <mergeCell ref="N137:N139"/>
    <mergeCell ref="O137:O139"/>
    <mergeCell ref="P137:P139"/>
    <mergeCell ref="Q147:Q149"/>
    <mergeCell ref="A155:A160"/>
    <mergeCell ref="A147:A149"/>
    <mergeCell ref="B147:B149"/>
    <mergeCell ref="C147:C149"/>
    <mergeCell ref="A120:A124"/>
    <mergeCell ref="Q130:Q131"/>
    <mergeCell ref="A161:A164"/>
    <mergeCell ref="P200:P201"/>
    <mergeCell ref="P207:P208"/>
    <mergeCell ref="O207:O208"/>
    <mergeCell ref="N207:N208"/>
    <mergeCell ref="O200:O201"/>
    <mergeCell ref="B226:B227"/>
    <mergeCell ref="B217:B219"/>
    <mergeCell ref="A211:A214"/>
    <mergeCell ref="A228:A229"/>
    <mergeCell ref="B228:B229"/>
    <mergeCell ref="C226:C227"/>
    <mergeCell ref="B224:B225"/>
    <mergeCell ref="C224:C225"/>
    <mergeCell ref="A224:A225"/>
    <mergeCell ref="A217:A219"/>
    <mergeCell ref="C217:C219"/>
    <mergeCell ref="A242:A243"/>
    <mergeCell ref="B242:B243"/>
    <mergeCell ref="C242:C243"/>
    <mergeCell ref="C245:C246"/>
    <mergeCell ref="C237:C240"/>
    <mergeCell ref="B237:B240"/>
    <mergeCell ref="C197:C198"/>
    <mergeCell ref="R135:R136"/>
    <mergeCell ref="C233:C234"/>
    <mergeCell ref="O233:O234"/>
    <mergeCell ref="P233:P234"/>
    <mergeCell ref="Q233:Q234"/>
    <mergeCell ref="Q209:Q210"/>
    <mergeCell ref="P147:P149"/>
    <mergeCell ref="P155:P160"/>
    <mergeCell ref="O155:O160"/>
    <mergeCell ref="P215:P216"/>
    <mergeCell ref="C228:C229"/>
    <mergeCell ref="Q167:Q170"/>
    <mergeCell ref="P161:P164"/>
    <mergeCell ref="N191:N192"/>
    <mergeCell ref="P167:P170"/>
    <mergeCell ref="Q197:Q198"/>
    <mergeCell ref="Q207:Q208"/>
    <mergeCell ref="C207:C208"/>
    <mergeCell ref="N200:N201"/>
    <mergeCell ref="Q242:Q243"/>
    <mergeCell ref="B197:B198"/>
    <mergeCell ref="N197:N198"/>
    <mergeCell ref="O230:O231"/>
    <mergeCell ref="Q226:Q227"/>
    <mergeCell ref="O226:O227"/>
    <mergeCell ref="A252:A255"/>
    <mergeCell ref="B252:B255"/>
    <mergeCell ref="B215:B216"/>
    <mergeCell ref="O228:O229"/>
    <mergeCell ref="P228:P229"/>
    <mergeCell ref="P224:P225"/>
    <mergeCell ref="O224:O225"/>
    <mergeCell ref="P226:P227"/>
    <mergeCell ref="B233:B234"/>
    <mergeCell ref="C215:C216"/>
    <mergeCell ref="O215:O216"/>
    <mergeCell ref="N233:N240"/>
    <mergeCell ref="O237:O240"/>
    <mergeCell ref="A245:A246"/>
    <mergeCell ref="B245:B246"/>
    <mergeCell ref="A237:A240"/>
    <mergeCell ref="P248:P250"/>
    <mergeCell ref="Q248:Q250"/>
    <mergeCell ref="P237:P240"/>
    <mergeCell ref="Q237:Q240"/>
    <mergeCell ref="N209:N225"/>
    <mergeCell ref="Q245:Q246"/>
    <mergeCell ref="Q211:Q214"/>
    <mergeCell ref="Q224:Q225"/>
    <mergeCell ref="N242:N243"/>
    <mergeCell ref="N248:N250"/>
    <mergeCell ref="N245:N246"/>
    <mergeCell ref="O242:O243"/>
    <mergeCell ref="P242:P243"/>
    <mergeCell ref="O245:O246"/>
    <mergeCell ref="P245:P246"/>
    <mergeCell ref="Q230:Q231"/>
    <mergeCell ref="Q228:Q229"/>
    <mergeCell ref="O248:O250"/>
    <mergeCell ref="A109:A113"/>
    <mergeCell ref="A104:A106"/>
    <mergeCell ref="B104:B106"/>
    <mergeCell ref="C104:C106"/>
    <mergeCell ref="N104:N106"/>
    <mergeCell ref="O107:O108"/>
    <mergeCell ref="B98:B100"/>
    <mergeCell ref="C98:C100"/>
    <mergeCell ref="N98:N100"/>
    <mergeCell ref="O98:O100"/>
    <mergeCell ref="N109:N113"/>
    <mergeCell ref="C107:C108"/>
    <mergeCell ref="B101:B103"/>
    <mergeCell ref="C101:C103"/>
    <mergeCell ref="N101:N103"/>
    <mergeCell ref="A98:A100"/>
    <mergeCell ref="B107:B108"/>
    <mergeCell ref="A79:A80"/>
    <mergeCell ref="B79:B80"/>
    <mergeCell ref="C79:C80"/>
    <mergeCell ref="B81:B86"/>
    <mergeCell ref="C81:C86"/>
    <mergeCell ref="A81:A86"/>
    <mergeCell ref="N87:N88"/>
    <mergeCell ref="N89:N90"/>
    <mergeCell ref="B89:B90"/>
    <mergeCell ref="C89:C90"/>
    <mergeCell ref="N79:N80"/>
    <mergeCell ref="N81:N86"/>
    <mergeCell ref="C87:C88"/>
    <mergeCell ref="A89:A90"/>
    <mergeCell ref="A87:A88"/>
    <mergeCell ref="B87:B88"/>
    <mergeCell ref="O81:O86"/>
    <mergeCell ref="R87:R88"/>
    <mergeCell ref="S87:S88"/>
    <mergeCell ref="O89:O90"/>
    <mergeCell ref="Q87:Q88"/>
    <mergeCell ref="P87:P88"/>
    <mergeCell ref="P89:P90"/>
    <mergeCell ref="Q89:Q90"/>
    <mergeCell ref="R89:R90"/>
    <mergeCell ref="S81:S86"/>
    <mergeCell ref="P81:P86"/>
    <mergeCell ref="Q81:Q86"/>
    <mergeCell ref="R81:R86"/>
    <mergeCell ref="B92:B94"/>
    <mergeCell ref="C92:C94"/>
    <mergeCell ref="O95:O97"/>
    <mergeCell ref="N95:N97"/>
    <mergeCell ref="O92:O94"/>
    <mergeCell ref="O87:O88"/>
    <mergeCell ref="A95:A97"/>
    <mergeCell ref="B95:B97"/>
    <mergeCell ref="C95:C97"/>
    <mergeCell ref="N92:N94"/>
    <mergeCell ref="B77:B78"/>
    <mergeCell ref="C77:C78"/>
    <mergeCell ref="O77:O78"/>
    <mergeCell ref="N77:N78"/>
    <mergeCell ref="A77:A78"/>
    <mergeCell ref="S77:S78"/>
    <mergeCell ref="T77:T78"/>
    <mergeCell ref="P77:P78"/>
    <mergeCell ref="Q77:Q78"/>
    <mergeCell ref="R77:R78"/>
    <mergeCell ref="O73:O76"/>
    <mergeCell ref="C25:C26"/>
    <mergeCell ref="O25:O26"/>
    <mergeCell ref="P25:P26"/>
    <mergeCell ref="P22:P23"/>
    <mergeCell ref="Q22:Q23"/>
    <mergeCell ref="A25:A26"/>
    <mergeCell ref="B25:B26"/>
    <mergeCell ref="N22:N23"/>
    <mergeCell ref="N25:N35"/>
    <mergeCell ref="J22:J23"/>
    <mergeCell ref="M22:M23"/>
    <mergeCell ref="K27:K30"/>
    <mergeCell ref="L27:L30"/>
    <mergeCell ref="M27:M30"/>
    <mergeCell ref="Q34:Q35"/>
    <mergeCell ref="A68:A72"/>
    <mergeCell ref="B68:B72"/>
    <mergeCell ref="C68:C72"/>
    <mergeCell ref="O68:O72"/>
    <mergeCell ref="N68:N72"/>
    <mergeCell ref="A58:A63"/>
    <mergeCell ref="B58:B63"/>
    <mergeCell ref="C58:C63"/>
    <mergeCell ref="V48:V51"/>
    <mergeCell ref="T46:T51"/>
    <mergeCell ref="T68:T72"/>
    <mergeCell ref="S68:S72"/>
    <mergeCell ref="R104:R106"/>
    <mergeCell ref="S46:S51"/>
    <mergeCell ref="S60:S63"/>
    <mergeCell ref="T60:T63"/>
    <mergeCell ref="U60:U63"/>
    <mergeCell ref="T54:T57"/>
    <mergeCell ref="U54:U57"/>
    <mergeCell ref="S58:S59"/>
    <mergeCell ref="T58:T59"/>
    <mergeCell ref="U58:U59"/>
    <mergeCell ref="U95:U97"/>
    <mergeCell ref="V104:V106"/>
    <mergeCell ref="R95:R97"/>
    <mergeCell ref="S79:S80"/>
    <mergeCell ref="R98:R100"/>
    <mergeCell ref="S98:S100"/>
    <mergeCell ref="S95:S97"/>
    <mergeCell ref="S104:S106"/>
    <mergeCell ref="T104:T106"/>
    <mergeCell ref="A64:A67"/>
    <mergeCell ref="Q52:Q53"/>
    <mergeCell ref="S52:S53"/>
    <mergeCell ref="B6:N6"/>
    <mergeCell ref="B10:N10"/>
    <mergeCell ref="B5:N5"/>
    <mergeCell ref="B12:N12"/>
    <mergeCell ref="B13:N13"/>
    <mergeCell ref="A21:V21"/>
    <mergeCell ref="A18:E18"/>
    <mergeCell ref="R25:R35"/>
    <mergeCell ref="V22:V23"/>
    <mergeCell ref="S34:S35"/>
    <mergeCell ref="T34:T35"/>
    <mergeCell ref="U34:U35"/>
    <mergeCell ref="V34:V35"/>
    <mergeCell ref="R22:U22"/>
    <mergeCell ref="R43:R44"/>
    <mergeCell ref="B37:B39"/>
    <mergeCell ref="A37:A39"/>
    <mergeCell ref="N37:N39"/>
    <mergeCell ref="C37:C39"/>
    <mergeCell ref="O37:O39"/>
    <mergeCell ref="P37:P39"/>
    <mergeCell ref="A1:H1"/>
    <mergeCell ref="C34:C35"/>
    <mergeCell ref="A34:A35"/>
    <mergeCell ref="B34:B35"/>
    <mergeCell ref="B22:B23"/>
    <mergeCell ref="A22:A23"/>
    <mergeCell ref="A2:V2"/>
    <mergeCell ref="R1:V1"/>
    <mergeCell ref="B11:N11"/>
    <mergeCell ref="O4:V4"/>
    <mergeCell ref="O7:Q7"/>
    <mergeCell ref="O34:O35"/>
    <mergeCell ref="P34:P35"/>
    <mergeCell ref="H22:H23"/>
    <mergeCell ref="G22:G23"/>
    <mergeCell ref="I22:I23"/>
    <mergeCell ref="A19:V19"/>
    <mergeCell ref="K22:K23"/>
    <mergeCell ref="L22:L23"/>
    <mergeCell ref="O22:O23"/>
    <mergeCell ref="C22:C23"/>
    <mergeCell ref="D22:D23"/>
    <mergeCell ref="E22:E23"/>
    <mergeCell ref="F22:F23"/>
    <mergeCell ref="A209:A210"/>
    <mergeCell ref="B209:B210"/>
    <mergeCell ref="R197:R198"/>
    <mergeCell ref="S197:S198"/>
    <mergeCell ref="S200:S201"/>
    <mergeCell ref="R207:R208"/>
    <mergeCell ref="T200:T201"/>
    <mergeCell ref="R200:R201"/>
    <mergeCell ref="R167:R170"/>
    <mergeCell ref="S167:S170"/>
    <mergeCell ref="T167:T170"/>
    <mergeCell ref="R191:R192"/>
    <mergeCell ref="A207:A208"/>
    <mergeCell ref="B207:B208"/>
    <mergeCell ref="A200:A201"/>
    <mergeCell ref="B200:B201"/>
    <mergeCell ref="C200:C201"/>
    <mergeCell ref="B167:B170"/>
    <mergeCell ref="C167:C170"/>
    <mergeCell ref="B191:B192"/>
    <mergeCell ref="A197:A198"/>
    <mergeCell ref="P191:P192"/>
    <mergeCell ref="Q191:Q192"/>
    <mergeCell ref="Q200:Q201"/>
    <mergeCell ref="C211:C214"/>
    <mergeCell ref="R211:R214"/>
    <mergeCell ref="S209:S210"/>
    <mergeCell ref="R209:R210"/>
    <mergeCell ref="S215:S216"/>
    <mergeCell ref="S211:S214"/>
    <mergeCell ref="P209:P210"/>
    <mergeCell ref="C209:C210"/>
    <mergeCell ref="O211:O214"/>
    <mergeCell ref="V241:V243"/>
    <mergeCell ref="T226:T227"/>
    <mergeCell ref="B271:D271"/>
    <mergeCell ref="V37:V39"/>
    <mergeCell ref="V43:V44"/>
    <mergeCell ref="V64:V67"/>
    <mergeCell ref="V68:V72"/>
    <mergeCell ref="V77:V78"/>
    <mergeCell ref="V79:V80"/>
    <mergeCell ref="V81:V86"/>
    <mergeCell ref="V87:V88"/>
    <mergeCell ref="V89:V90"/>
    <mergeCell ref="V92:V94"/>
    <mergeCell ref="V107:V108"/>
    <mergeCell ref="V109:V113"/>
    <mergeCell ref="V120:V124"/>
    <mergeCell ref="V126:V127"/>
    <mergeCell ref="V130:V131"/>
    <mergeCell ref="R248:R250"/>
    <mergeCell ref="S248:S250"/>
    <mergeCell ref="R245:R246"/>
    <mergeCell ref="T233:T234"/>
    <mergeCell ref="S207:S208"/>
    <mergeCell ref="R215:R216"/>
    <mergeCell ref="R233:R234"/>
    <mergeCell ref="R228:R229"/>
    <mergeCell ref="R230:R231"/>
    <mergeCell ref="R226:R227"/>
    <mergeCell ref="S233:S234"/>
    <mergeCell ref="U237:U240"/>
    <mergeCell ref="U242:U243"/>
    <mergeCell ref="U245:U246"/>
    <mergeCell ref="S245:S246"/>
    <mergeCell ref="T245:T246"/>
    <mergeCell ref="U228:U229"/>
    <mergeCell ref="U233:U234"/>
    <mergeCell ref="R237:R240"/>
    <mergeCell ref="S237:S240"/>
    <mergeCell ref="S230:S231"/>
    <mergeCell ref="T230:T231"/>
    <mergeCell ref="S226:S227"/>
    <mergeCell ref="S228:S229"/>
    <mergeCell ref="T228:T229"/>
    <mergeCell ref="V46:V47"/>
    <mergeCell ref="T107:T108"/>
    <mergeCell ref="T109:T113"/>
    <mergeCell ref="T98:T100"/>
    <mergeCell ref="V54:V57"/>
    <mergeCell ref="V98:V100"/>
    <mergeCell ref="Q98:Q100"/>
    <mergeCell ref="R128:R129"/>
    <mergeCell ref="S64:S67"/>
    <mergeCell ref="Q107:Q108"/>
    <mergeCell ref="P73:V76"/>
    <mergeCell ref="U68:U72"/>
    <mergeCell ref="U77:U78"/>
    <mergeCell ref="U87:U88"/>
    <mergeCell ref="U89:U90"/>
    <mergeCell ref="P95:P97"/>
    <mergeCell ref="Q95:Q97"/>
    <mergeCell ref="Q92:Q94"/>
    <mergeCell ref="T95:T97"/>
    <mergeCell ref="P126:P127"/>
    <mergeCell ref="P92:P94"/>
    <mergeCell ref="U52:U53"/>
    <mergeCell ref="V95:V97"/>
    <mergeCell ref="R109:R113"/>
    <mergeCell ref="P107:P108"/>
    <mergeCell ref="T120:T124"/>
    <mergeCell ref="V52:V53"/>
    <mergeCell ref="V101:V103"/>
    <mergeCell ref="V200:V201"/>
    <mergeCell ref="V207:V208"/>
    <mergeCell ref="T64:T67"/>
    <mergeCell ref="O79:O80"/>
    <mergeCell ref="O193:O195"/>
    <mergeCell ref="P193:V195"/>
    <mergeCell ref="U207:U208"/>
    <mergeCell ref="T207:T208"/>
    <mergeCell ref="T161:T164"/>
    <mergeCell ref="S155:S160"/>
    <mergeCell ref="R161:R164"/>
    <mergeCell ref="S92:S94"/>
    <mergeCell ref="T92:T94"/>
    <mergeCell ref="R92:R94"/>
    <mergeCell ref="R107:R108"/>
    <mergeCell ref="S107:S108"/>
    <mergeCell ref="P128:P129"/>
    <mergeCell ref="Q128:Q129"/>
    <mergeCell ref="S89:S90"/>
    <mergeCell ref="Q109:Q113"/>
    <mergeCell ref="V197:V198"/>
    <mergeCell ref="R217:R219"/>
    <mergeCell ref="S217:S219"/>
    <mergeCell ref="O209:O210"/>
    <mergeCell ref="O197:O198"/>
    <mergeCell ref="Q120:Q124"/>
    <mergeCell ref="U130:U131"/>
    <mergeCell ref="R140:R142"/>
    <mergeCell ref="O217:O219"/>
    <mergeCell ref="R147:R149"/>
    <mergeCell ref="R155:R160"/>
    <mergeCell ref="S191:S192"/>
    <mergeCell ref="T191:T192"/>
    <mergeCell ref="S135:S136"/>
    <mergeCell ref="T147:T149"/>
    <mergeCell ref="T135:T136"/>
    <mergeCell ref="S147:S149"/>
    <mergeCell ref="Q155:Q160"/>
    <mergeCell ref="R137:R139"/>
    <mergeCell ref="P197:P198"/>
    <mergeCell ref="P217:P219"/>
    <mergeCell ref="Q217:Q219"/>
    <mergeCell ref="Q215:Q216"/>
    <mergeCell ref="P211:P214"/>
    <mergeCell ref="S137:S139"/>
    <mergeCell ref="R130:R131"/>
    <mergeCell ref="U135:U136"/>
    <mergeCell ref="U191:U192"/>
    <mergeCell ref="T101:T103"/>
    <mergeCell ref="T130:T131"/>
    <mergeCell ref="V155:V160"/>
    <mergeCell ref="V161:V164"/>
    <mergeCell ref="V167:V170"/>
    <mergeCell ref="R120:R124"/>
    <mergeCell ref="U109:U113"/>
    <mergeCell ref="S120:S124"/>
    <mergeCell ref="S109:S113"/>
    <mergeCell ref="S161:S164"/>
    <mergeCell ref="R126:R127"/>
    <mergeCell ref="S126:S127"/>
    <mergeCell ref="T126:T127"/>
    <mergeCell ref="S128:S129"/>
    <mergeCell ref="T128:T129"/>
    <mergeCell ref="V128:V129"/>
    <mergeCell ref="S130:S131"/>
  </mergeCells>
  <conditionalFormatting sqref="E22:H22 G23:H23 K22:L23 N22:O22">
    <cfRule type="dataBar" priority="6">
      <dataBar>
        <cfvo type="min"/>
        <cfvo type="max"/>
        <color rgb="FF638EC6"/>
      </dataBar>
      <extLst>
        <ext xmlns:x14="http://schemas.microsoft.com/office/spreadsheetml/2009/9/main" uri="{B025F937-C7B1-47D3-B67F-A62EFF666E3E}">
          <x14:id>{343C4AEC-2D81-485D-8AD5-A6BBEE40984A}</x14:id>
        </ext>
      </extLst>
    </cfRule>
  </conditionalFormatting>
  <conditionalFormatting sqref="I22:J22">
    <cfRule type="dataBar" priority="4">
      <dataBar>
        <cfvo type="min"/>
        <cfvo type="max"/>
        <color rgb="FF638EC6"/>
      </dataBar>
      <extLst>
        <ext xmlns:x14="http://schemas.microsoft.com/office/spreadsheetml/2009/9/main" uri="{B025F937-C7B1-47D3-B67F-A62EFF666E3E}">
          <x14:id>{AE590089-1F0F-4B39-8680-DCCD43482495}</x14:id>
        </ext>
      </extLst>
    </cfRule>
  </conditionalFormatting>
  <conditionalFormatting sqref="J23">
    <cfRule type="dataBar" priority="3">
      <dataBar>
        <cfvo type="min"/>
        <cfvo type="max"/>
        <color rgb="FF638EC6"/>
      </dataBar>
      <extLst>
        <ext xmlns:x14="http://schemas.microsoft.com/office/spreadsheetml/2009/9/main" uri="{B025F937-C7B1-47D3-B67F-A62EFF666E3E}">
          <x14:id>{0C10C1CB-2510-4EAB-B06E-7FB20334E757}</x14:id>
        </ext>
      </extLst>
    </cfRule>
  </conditionalFormatting>
  <conditionalFormatting sqref="M22">
    <cfRule type="dataBar" priority="2">
      <dataBar>
        <cfvo type="min"/>
        <cfvo type="max"/>
        <color rgb="FF638EC6"/>
      </dataBar>
      <extLst>
        <ext xmlns:x14="http://schemas.microsoft.com/office/spreadsheetml/2009/9/main" uri="{B025F937-C7B1-47D3-B67F-A62EFF666E3E}">
          <x14:id>{3AD49723-2321-4339-B3DB-6737E8FA2C85}</x14:id>
        </ext>
      </extLst>
    </cfRule>
  </conditionalFormatting>
  <conditionalFormatting sqref="M23">
    <cfRule type="dataBar" priority="1">
      <dataBar>
        <cfvo type="min"/>
        <cfvo type="max"/>
        <color rgb="FF638EC6"/>
      </dataBar>
      <extLst>
        <ext xmlns:x14="http://schemas.microsoft.com/office/spreadsheetml/2009/9/main" uri="{B025F937-C7B1-47D3-B67F-A62EFF666E3E}">
          <x14:id>{2AADE123-225F-432C-9B69-82C1E01C7E96}</x14:id>
        </ext>
      </extLst>
    </cfRule>
  </conditionalFormatting>
  <pageMargins left="0.70866141732283472" right="0.70866141732283472" top="0.74803149606299213" bottom="0.74803149606299213" header="0.31496062992125984" footer="0.31496062992125984"/>
  <pageSetup paperSize="8" scale="70" fitToWidth="0" fitToHeight="0" pageOrder="overThenDown" orientation="landscape" r:id="rId1"/>
  <legacyDrawing r:id="rId2"/>
  <extLst>
    <ext xmlns:x14="http://schemas.microsoft.com/office/spreadsheetml/2009/9/main" uri="{78C0D931-6437-407d-A8EE-F0AAD7539E65}">
      <x14:conditionalFormattings>
        <x14:conditionalFormatting xmlns:xm="http://schemas.microsoft.com/office/excel/2006/main">
          <x14:cfRule type="dataBar" id="{343C4AEC-2D81-485D-8AD5-A6BBEE40984A}">
            <x14:dataBar minLength="0" maxLength="100" border="1" negativeBarBorderColorSameAsPositive="0">
              <x14:cfvo type="autoMin"/>
              <x14:cfvo type="autoMax"/>
              <x14:borderColor rgb="FF638EC6"/>
              <x14:negativeFillColor rgb="FFFF0000"/>
              <x14:negativeBorderColor rgb="FFFF0000"/>
              <x14:axisColor rgb="FF000000"/>
            </x14:dataBar>
          </x14:cfRule>
          <xm:sqref>E22:H22 G23:H23 K22:L23 N22:O22</xm:sqref>
        </x14:conditionalFormatting>
        <x14:conditionalFormatting xmlns:xm="http://schemas.microsoft.com/office/excel/2006/main">
          <x14:cfRule type="dataBar" id="{AE590089-1F0F-4B39-8680-DCCD43482495}">
            <x14:dataBar minLength="0" maxLength="100" border="1" negativeBarBorderColorSameAsPositive="0">
              <x14:cfvo type="autoMin"/>
              <x14:cfvo type="autoMax"/>
              <x14:borderColor rgb="FF638EC6"/>
              <x14:negativeFillColor rgb="FFFF0000"/>
              <x14:negativeBorderColor rgb="FFFF0000"/>
              <x14:axisColor rgb="FF000000"/>
            </x14:dataBar>
          </x14:cfRule>
          <xm:sqref>I22:J22</xm:sqref>
        </x14:conditionalFormatting>
        <x14:conditionalFormatting xmlns:xm="http://schemas.microsoft.com/office/excel/2006/main">
          <x14:cfRule type="dataBar" id="{0C10C1CB-2510-4EAB-B06E-7FB20334E757}">
            <x14:dataBar minLength="0" maxLength="100" border="1" negativeBarBorderColorSameAsPositive="0">
              <x14:cfvo type="autoMin"/>
              <x14:cfvo type="autoMax"/>
              <x14:borderColor rgb="FF638EC6"/>
              <x14:negativeFillColor rgb="FFFF0000"/>
              <x14:negativeBorderColor rgb="FFFF0000"/>
              <x14:axisColor rgb="FF000000"/>
            </x14:dataBar>
          </x14:cfRule>
          <xm:sqref>J23</xm:sqref>
        </x14:conditionalFormatting>
        <x14:conditionalFormatting xmlns:xm="http://schemas.microsoft.com/office/excel/2006/main">
          <x14:cfRule type="dataBar" id="{3AD49723-2321-4339-B3DB-6737E8FA2C85}">
            <x14:dataBar minLength="0" maxLength="100" border="1" negativeBarBorderColorSameAsPositive="0">
              <x14:cfvo type="autoMin"/>
              <x14:cfvo type="autoMax"/>
              <x14:borderColor rgb="FF638EC6"/>
              <x14:negativeFillColor rgb="FFFF0000"/>
              <x14:negativeBorderColor rgb="FFFF0000"/>
              <x14:axisColor rgb="FF000000"/>
            </x14:dataBar>
          </x14:cfRule>
          <xm:sqref>M22</xm:sqref>
        </x14:conditionalFormatting>
        <x14:conditionalFormatting xmlns:xm="http://schemas.microsoft.com/office/excel/2006/main">
          <x14:cfRule type="dataBar" id="{2AADE123-225F-432C-9B69-82C1E01C7E96}">
            <x14:dataBar minLength="0" maxLength="100" border="1" negativeBarBorderColorSameAsPositive="0">
              <x14:cfvo type="autoMin"/>
              <x14:cfvo type="autoMax"/>
              <x14:borderColor rgb="FF638EC6"/>
              <x14:negativeFillColor rgb="FFFF0000"/>
              <x14:negativeBorderColor rgb="FFFF0000"/>
              <x14:axisColor rgb="FF000000"/>
            </x14:dataBar>
          </x14:cfRule>
          <xm:sqref>M23</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C5A6B-838E-42D6-85DD-C63DC50AA0CF}">
  <dimension ref="C1:I195"/>
  <sheetViews>
    <sheetView zoomScale="86" zoomScaleNormal="86" workbookViewId="0">
      <pane xSplit="2" ySplit="5" topLeftCell="C9" activePane="bottomRight" state="frozen"/>
      <selection pane="topRight" activeCell="C1" sqref="C1"/>
      <selection pane="bottomLeft" activeCell="A3" sqref="A3"/>
      <selection pane="bottomRight" activeCell="Q15" sqref="Q15"/>
    </sheetView>
  </sheetViews>
  <sheetFormatPr defaultColWidth="8.85546875" defaultRowHeight="34.9" customHeight="1"/>
  <cols>
    <col min="1" max="1" width="0" style="100" hidden="1" customWidth="1"/>
    <col min="2" max="2" width="8.85546875" style="100"/>
    <col min="3" max="3" width="6.7109375" style="100" customWidth="1"/>
    <col min="4" max="4" width="18.140625" style="245" customWidth="1"/>
    <col min="5" max="5" width="43.7109375" style="100" customWidth="1"/>
    <col min="6" max="6" width="16.42578125" style="245" hidden="1" customWidth="1"/>
    <col min="7" max="7" width="18.5703125" style="245" customWidth="1"/>
    <col min="8" max="9" width="16.7109375" style="245" customWidth="1"/>
    <col min="10" max="16384" width="8.85546875" style="100"/>
  </cols>
  <sheetData>
    <row r="1" spans="3:9" ht="24.75" hidden="1" customHeight="1"/>
    <row r="2" spans="3:9" ht="34.9" customHeight="1">
      <c r="C2" s="3649" t="s">
        <v>4190</v>
      </c>
      <c r="D2" s="3649"/>
      <c r="E2" s="3649"/>
      <c r="F2" s="3650"/>
      <c r="G2" s="3650"/>
      <c r="H2" s="3650"/>
      <c r="I2" s="653"/>
    </row>
    <row r="3" spans="3:9" ht="70.150000000000006" customHeight="1">
      <c r="C3" s="110" t="s">
        <v>720</v>
      </c>
      <c r="D3" s="110" t="s">
        <v>1729</v>
      </c>
      <c r="E3" s="110" t="s">
        <v>734</v>
      </c>
      <c r="F3" s="3619" t="s">
        <v>735</v>
      </c>
      <c r="G3" s="3620"/>
      <c r="H3" s="3620"/>
      <c r="I3" s="3621"/>
    </row>
    <row r="4" spans="3:9" ht="34.9" customHeight="1">
      <c r="C4" s="110"/>
      <c r="D4" s="110"/>
      <c r="E4" s="110"/>
      <c r="F4" s="110">
        <v>2024</v>
      </c>
      <c r="G4" s="110">
        <v>2025</v>
      </c>
      <c r="H4" s="110">
        <v>2026</v>
      </c>
      <c r="I4" s="110">
        <v>2027</v>
      </c>
    </row>
    <row r="5" spans="3:9" ht="12.6" customHeight="1">
      <c r="C5" s="111">
        <v>1</v>
      </c>
      <c r="D5" s="111">
        <v>2</v>
      </c>
      <c r="E5" s="111">
        <v>3</v>
      </c>
      <c r="F5" s="111">
        <v>4</v>
      </c>
      <c r="G5" s="111">
        <v>5</v>
      </c>
      <c r="H5" s="111">
        <v>6</v>
      </c>
      <c r="I5" s="111">
        <v>6</v>
      </c>
    </row>
    <row r="6" spans="3:9" ht="70.150000000000006" hidden="1" customHeight="1">
      <c r="C6" s="105" t="s">
        <v>720</v>
      </c>
      <c r="D6" s="105" t="s">
        <v>1729</v>
      </c>
      <c r="E6" s="105" t="s">
        <v>734</v>
      </c>
      <c r="F6" s="3644" t="s">
        <v>735</v>
      </c>
      <c r="G6" s="3644"/>
      <c r="H6" s="3644"/>
      <c r="I6" s="105"/>
    </row>
    <row r="7" spans="3:9" ht="34.9" hidden="1" customHeight="1">
      <c r="C7" s="105"/>
      <c r="D7" s="105"/>
      <c r="E7" s="105"/>
      <c r="F7" s="105">
        <v>2024</v>
      </c>
      <c r="G7" s="105">
        <v>2025</v>
      </c>
      <c r="H7" s="105">
        <v>2026</v>
      </c>
      <c r="I7" s="105">
        <v>2026</v>
      </c>
    </row>
    <row r="8" spans="3:9" ht="12.6" hidden="1" customHeight="1">
      <c r="C8" s="106">
        <v>1</v>
      </c>
      <c r="D8" s="106">
        <v>2</v>
      </c>
      <c r="E8" s="106">
        <v>3</v>
      </c>
      <c r="F8" s="106">
        <v>4</v>
      </c>
      <c r="G8" s="106">
        <v>5</v>
      </c>
      <c r="H8" s="106">
        <v>6</v>
      </c>
      <c r="I8" s="106">
        <v>6</v>
      </c>
    </row>
    <row r="9" spans="3:9" ht="34.9" customHeight="1">
      <c r="C9" s="3638" t="s">
        <v>1730</v>
      </c>
      <c r="D9" s="3638"/>
      <c r="E9" s="3638"/>
      <c r="F9" s="3638"/>
      <c r="G9" s="3638"/>
      <c r="H9" s="3638"/>
      <c r="I9" s="652"/>
    </row>
    <row r="10" spans="3:9" ht="34.9" customHeight="1">
      <c r="C10" s="3623">
        <v>1</v>
      </c>
      <c r="D10" s="3623" t="s">
        <v>2709</v>
      </c>
      <c r="E10" s="107" t="s">
        <v>737</v>
      </c>
      <c r="F10" s="106">
        <v>675</v>
      </c>
      <c r="G10" s="106">
        <v>680</v>
      </c>
      <c r="H10" s="106">
        <v>500</v>
      </c>
      <c r="I10" s="106">
        <v>500</v>
      </c>
    </row>
    <row r="11" spans="3:9" ht="61.5" hidden="1" customHeight="1">
      <c r="C11" s="3623"/>
      <c r="D11" s="3623"/>
      <c r="E11" s="107" t="s">
        <v>738</v>
      </c>
      <c r="F11" s="106" t="s">
        <v>739</v>
      </c>
      <c r="G11" s="106" t="s">
        <v>1728</v>
      </c>
      <c r="H11" s="106" t="s">
        <v>2439</v>
      </c>
      <c r="I11" s="106" t="s">
        <v>2439</v>
      </c>
    </row>
    <row r="12" spans="3:9" ht="34.9" customHeight="1">
      <c r="C12" s="3623"/>
      <c r="D12" s="3623"/>
      <c r="E12" s="107" t="s">
        <v>741</v>
      </c>
      <c r="F12" s="106">
        <v>320</v>
      </c>
      <c r="G12" s="106">
        <v>340</v>
      </c>
      <c r="H12" s="106">
        <v>350</v>
      </c>
      <c r="I12" s="106">
        <v>350</v>
      </c>
    </row>
    <row r="13" spans="3:9" ht="34.9" customHeight="1">
      <c r="C13" s="3623"/>
      <c r="D13" s="3623"/>
      <c r="E13" s="107" t="s">
        <v>742</v>
      </c>
      <c r="F13" s="106">
        <v>10</v>
      </c>
      <c r="G13" s="106">
        <v>10</v>
      </c>
      <c r="H13" s="106">
        <v>10</v>
      </c>
      <c r="I13" s="106">
        <v>10</v>
      </c>
    </row>
    <row r="14" spans="3:9" ht="34.9" customHeight="1">
      <c r="C14" s="3623"/>
      <c r="D14" s="3623"/>
      <c r="E14" s="107" t="s">
        <v>743</v>
      </c>
      <c r="F14" s="106">
        <v>12</v>
      </c>
      <c r="G14" s="106">
        <v>10</v>
      </c>
      <c r="H14" s="106">
        <v>9</v>
      </c>
      <c r="I14" s="106">
        <v>9</v>
      </c>
    </row>
    <row r="15" spans="3:9" ht="34.9" customHeight="1">
      <c r="C15" s="3623"/>
      <c r="D15" s="3623"/>
      <c r="E15" s="107" t="s">
        <v>744</v>
      </c>
      <c r="F15" s="106">
        <v>0</v>
      </c>
      <c r="G15" s="106">
        <v>0</v>
      </c>
      <c r="H15" s="106">
        <v>1</v>
      </c>
      <c r="I15" s="106">
        <v>1</v>
      </c>
    </row>
    <row r="16" spans="3:9" ht="34.9" customHeight="1">
      <c r="C16" s="3623"/>
      <c r="D16" s="3623"/>
      <c r="E16" s="107" t="s">
        <v>745</v>
      </c>
      <c r="F16" s="106" t="s">
        <v>746</v>
      </c>
      <c r="G16" s="106" t="s">
        <v>747</v>
      </c>
      <c r="H16" s="106" t="s">
        <v>748</v>
      </c>
      <c r="I16" s="106" t="s">
        <v>748</v>
      </c>
    </row>
    <row r="17" spans="3:9" ht="34.9" customHeight="1">
      <c r="C17" s="3623"/>
      <c r="D17" s="3623"/>
      <c r="E17" s="107" t="s">
        <v>749</v>
      </c>
      <c r="F17" s="106" t="s">
        <v>2440</v>
      </c>
      <c r="G17" s="106" t="s">
        <v>746</v>
      </c>
      <c r="H17" s="106" t="s">
        <v>747</v>
      </c>
      <c r="I17" s="106" t="s">
        <v>747</v>
      </c>
    </row>
    <row r="18" spans="3:9" ht="34.9" customHeight="1">
      <c r="C18" s="3623"/>
      <c r="D18" s="3623"/>
      <c r="E18" s="107" t="s">
        <v>751</v>
      </c>
      <c r="F18" s="106">
        <v>1</v>
      </c>
      <c r="G18" s="106">
        <v>1</v>
      </c>
      <c r="H18" s="106">
        <v>1</v>
      </c>
      <c r="I18" s="106">
        <v>1</v>
      </c>
    </row>
    <row r="19" spans="3:9" ht="34.9" customHeight="1">
      <c r="C19" s="3623"/>
      <c r="D19" s="3623"/>
      <c r="E19" s="107" t="s">
        <v>752</v>
      </c>
      <c r="F19" s="106" t="s">
        <v>753</v>
      </c>
      <c r="G19" s="106" t="s">
        <v>753</v>
      </c>
      <c r="H19" s="106" t="s">
        <v>754</v>
      </c>
      <c r="I19" s="106" t="s">
        <v>754</v>
      </c>
    </row>
    <row r="20" spans="3:9" ht="34.9" customHeight="1">
      <c r="C20" s="3623"/>
      <c r="D20" s="3623"/>
      <c r="E20" s="107" t="s">
        <v>755</v>
      </c>
      <c r="F20" s="106">
        <v>45</v>
      </c>
      <c r="G20" s="106">
        <v>50</v>
      </c>
      <c r="H20" s="106">
        <v>50</v>
      </c>
      <c r="I20" s="106">
        <v>50</v>
      </c>
    </row>
    <row r="21" spans="3:9" ht="34.9" customHeight="1">
      <c r="C21" s="3623"/>
      <c r="D21" s="3623"/>
      <c r="E21" s="107" t="s">
        <v>756</v>
      </c>
      <c r="F21" s="106">
        <v>34</v>
      </c>
      <c r="G21" s="106">
        <v>40</v>
      </c>
      <c r="H21" s="106">
        <v>45</v>
      </c>
      <c r="I21" s="106">
        <v>45</v>
      </c>
    </row>
    <row r="22" spans="3:9" ht="18.75" customHeight="1">
      <c r="C22" s="3645"/>
      <c r="D22" s="3645"/>
      <c r="E22" s="3645"/>
      <c r="F22" s="3645"/>
      <c r="G22" s="3645"/>
      <c r="H22" s="3645"/>
      <c r="I22" s="655"/>
    </row>
    <row r="23" spans="3:9" ht="34.9" customHeight="1">
      <c r="C23" s="3623">
        <v>2</v>
      </c>
      <c r="D23" s="3623" t="s">
        <v>2711</v>
      </c>
      <c r="E23" s="107" t="s">
        <v>3580</v>
      </c>
      <c r="F23" s="106">
        <v>60</v>
      </c>
      <c r="G23" s="106">
        <v>60</v>
      </c>
      <c r="H23" s="106">
        <v>60</v>
      </c>
      <c r="I23" s="106">
        <v>65</v>
      </c>
    </row>
    <row r="24" spans="3:9" ht="34.9" customHeight="1">
      <c r="C24" s="3623"/>
      <c r="D24" s="3623"/>
      <c r="E24" s="107" t="s">
        <v>2569</v>
      </c>
      <c r="F24" s="106">
        <v>1</v>
      </c>
      <c r="G24" s="106">
        <v>1</v>
      </c>
      <c r="H24" s="106">
        <v>2</v>
      </c>
      <c r="I24" s="106">
        <v>2</v>
      </c>
    </row>
    <row r="25" spans="3:9" ht="34.9" customHeight="1">
      <c r="C25" s="3623"/>
      <c r="D25" s="3623"/>
      <c r="E25" s="107" t="s">
        <v>757</v>
      </c>
      <c r="F25" s="106">
        <v>9</v>
      </c>
      <c r="G25" s="106">
        <v>9</v>
      </c>
      <c r="H25" s="106">
        <v>9</v>
      </c>
      <c r="I25" s="106">
        <v>10</v>
      </c>
    </row>
    <row r="26" spans="3:9" ht="34.9" customHeight="1">
      <c r="C26" s="3623"/>
      <c r="D26" s="3623"/>
      <c r="E26" s="107" t="s">
        <v>743</v>
      </c>
      <c r="F26" s="106">
        <v>1</v>
      </c>
      <c r="G26" s="106">
        <v>1</v>
      </c>
      <c r="H26" s="106">
        <v>1</v>
      </c>
      <c r="I26" s="106">
        <v>2</v>
      </c>
    </row>
    <row r="27" spans="3:9" ht="34.9" customHeight="1">
      <c r="C27" s="3623"/>
      <c r="D27" s="3623"/>
      <c r="E27" s="107" t="s">
        <v>744</v>
      </c>
      <c r="F27" s="106">
        <v>3</v>
      </c>
      <c r="G27" s="106">
        <v>3</v>
      </c>
      <c r="H27" s="106">
        <v>3</v>
      </c>
      <c r="I27" s="106">
        <v>3</v>
      </c>
    </row>
    <row r="28" spans="3:9" ht="34.9" customHeight="1">
      <c r="C28" s="3623"/>
      <c r="D28" s="3623"/>
      <c r="E28" s="107" t="s">
        <v>745</v>
      </c>
      <c r="F28" s="106" t="s">
        <v>758</v>
      </c>
      <c r="G28" s="106" t="s">
        <v>758</v>
      </c>
      <c r="H28" s="106" t="s">
        <v>759</v>
      </c>
      <c r="I28" s="106" t="s">
        <v>2570</v>
      </c>
    </row>
    <row r="29" spans="3:9" ht="34.9" customHeight="1">
      <c r="C29" s="3623"/>
      <c r="D29" s="3623"/>
      <c r="E29" s="107" t="s">
        <v>749</v>
      </c>
      <c r="F29" s="106" t="s">
        <v>768</v>
      </c>
      <c r="G29" s="106" t="s">
        <v>768</v>
      </c>
      <c r="H29" s="106" t="s">
        <v>768</v>
      </c>
      <c r="I29" s="106" t="s">
        <v>768</v>
      </c>
    </row>
    <row r="30" spans="3:9" ht="34.9" customHeight="1">
      <c r="C30" s="3623"/>
      <c r="D30" s="3623"/>
      <c r="E30" s="107" t="s">
        <v>751</v>
      </c>
      <c r="F30" s="106">
        <v>4</v>
      </c>
      <c r="G30" s="106">
        <v>4</v>
      </c>
      <c r="H30" s="106">
        <v>4</v>
      </c>
      <c r="I30" s="106">
        <v>5</v>
      </c>
    </row>
    <row r="31" spans="3:9" ht="34.9" customHeight="1">
      <c r="C31" s="3623"/>
      <c r="D31" s="3623"/>
      <c r="E31" s="107" t="s">
        <v>752</v>
      </c>
      <c r="F31" s="106" t="s">
        <v>761</v>
      </c>
      <c r="G31" s="106" t="s">
        <v>761</v>
      </c>
      <c r="H31" s="106" t="s">
        <v>762</v>
      </c>
      <c r="I31" s="106" t="s">
        <v>763</v>
      </c>
    </row>
    <row r="32" spans="3:9" ht="34.9" customHeight="1">
      <c r="C32" s="3623"/>
      <c r="D32" s="3623"/>
      <c r="E32" s="107" t="s">
        <v>755</v>
      </c>
      <c r="F32" s="106">
        <v>30</v>
      </c>
      <c r="G32" s="106">
        <v>30</v>
      </c>
      <c r="H32" s="106">
        <v>40</v>
      </c>
      <c r="I32" s="106">
        <v>50</v>
      </c>
    </row>
    <row r="33" spans="3:9" ht="34.9" customHeight="1">
      <c r="C33" s="3623"/>
      <c r="D33" s="3623"/>
      <c r="E33" s="107" t="s">
        <v>2571</v>
      </c>
      <c r="F33" s="106">
        <v>0</v>
      </c>
      <c r="G33" s="106">
        <v>0</v>
      </c>
      <c r="H33" s="106">
        <v>1</v>
      </c>
      <c r="I33" s="106">
        <v>1</v>
      </c>
    </row>
    <row r="34" spans="3:9" ht="34.9" customHeight="1">
      <c r="C34" s="3623"/>
      <c r="D34" s="3623"/>
      <c r="E34" s="107" t="s">
        <v>2572</v>
      </c>
      <c r="F34" s="106">
        <v>0</v>
      </c>
      <c r="G34" s="106">
        <v>0</v>
      </c>
      <c r="H34" s="106">
        <v>0</v>
      </c>
      <c r="I34" s="106">
        <v>1</v>
      </c>
    </row>
    <row r="35" spans="3:9" ht="20.25" customHeight="1">
      <c r="C35" s="3645"/>
      <c r="D35" s="3645"/>
      <c r="E35" s="3645"/>
      <c r="F35" s="3645"/>
      <c r="G35" s="3645"/>
      <c r="H35" s="3645"/>
      <c r="I35" s="655"/>
    </row>
    <row r="36" spans="3:9" ht="34.9" customHeight="1">
      <c r="C36" s="3623">
        <v>3</v>
      </c>
      <c r="D36" s="3623" t="s">
        <v>1731</v>
      </c>
      <c r="E36" s="107" t="s">
        <v>3581</v>
      </c>
      <c r="F36" s="106">
        <v>50</v>
      </c>
      <c r="G36" s="106">
        <v>70</v>
      </c>
      <c r="H36" s="106" t="s">
        <v>3582</v>
      </c>
      <c r="I36" s="106" t="s">
        <v>3582</v>
      </c>
    </row>
    <row r="37" spans="3:9" ht="34.9" hidden="1" customHeight="1">
      <c r="C37" s="3623"/>
      <c r="D37" s="3623"/>
      <c r="E37" s="107" t="s">
        <v>738</v>
      </c>
      <c r="F37" s="106" t="s">
        <v>766</v>
      </c>
      <c r="G37" s="106" t="s">
        <v>740</v>
      </c>
      <c r="H37" s="106" t="s">
        <v>740</v>
      </c>
      <c r="I37" s="106" t="s">
        <v>740</v>
      </c>
    </row>
    <row r="38" spans="3:9" ht="34.9" customHeight="1">
      <c r="C38" s="3623"/>
      <c r="D38" s="3623"/>
      <c r="E38" s="107" t="s">
        <v>3583</v>
      </c>
      <c r="F38" s="106">
        <v>50</v>
      </c>
      <c r="G38" s="106" t="s">
        <v>3584</v>
      </c>
      <c r="H38" s="106">
        <v>7</v>
      </c>
      <c r="I38" s="106">
        <v>7</v>
      </c>
    </row>
    <row r="39" spans="3:9" ht="34.9" customHeight="1">
      <c r="C39" s="3623"/>
      <c r="D39" s="3623"/>
      <c r="E39" s="107" t="s">
        <v>3585</v>
      </c>
      <c r="F39" s="106">
        <v>0</v>
      </c>
      <c r="G39" s="106">
        <v>1</v>
      </c>
      <c r="H39" s="106">
        <v>0</v>
      </c>
      <c r="I39" s="106">
        <v>0</v>
      </c>
    </row>
    <row r="40" spans="3:9" ht="34.9" customHeight="1">
      <c r="C40" s="3623"/>
      <c r="D40" s="3623"/>
      <c r="E40" s="107" t="s">
        <v>3586</v>
      </c>
      <c r="F40" s="106">
        <v>0</v>
      </c>
      <c r="G40" s="106">
        <v>1</v>
      </c>
      <c r="H40" s="106">
        <v>0</v>
      </c>
      <c r="I40" s="106">
        <v>0</v>
      </c>
    </row>
    <row r="41" spans="3:9" ht="34.9" customHeight="1">
      <c r="C41" s="3623"/>
      <c r="D41" s="3623"/>
      <c r="E41" s="107" t="s">
        <v>3587</v>
      </c>
      <c r="F41" s="106">
        <v>0</v>
      </c>
      <c r="G41" s="106">
        <v>1</v>
      </c>
      <c r="H41" s="106">
        <v>1</v>
      </c>
      <c r="I41" s="106">
        <v>1</v>
      </c>
    </row>
    <row r="42" spans="3:9" ht="34.9" customHeight="1">
      <c r="C42" s="3623"/>
      <c r="D42" s="3623"/>
      <c r="E42" s="107" t="s">
        <v>3588</v>
      </c>
      <c r="F42" s="106">
        <v>0</v>
      </c>
      <c r="G42" s="106">
        <v>0</v>
      </c>
      <c r="H42" s="106">
        <v>1</v>
      </c>
      <c r="I42" s="106">
        <v>1</v>
      </c>
    </row>
    <row r="43" spans="3:9" ht="34.9" customHeight="1">
      <c r="C43" s="3623"/>
      <c r="D43" s="3623"/>
      <c r="E43" s="107" t="s">
        <v>3589</v>
      </c>
      <c r="F43" s="106">
        <v>0</v>
      </c>
      <c r="G43" s="106">
        <v>0</v>
      </c>
      <c r="H43" s="106">
        <v>2</v>
      </c>
      <c r="I43" s="106">
        <v>2</v>
      </c>
    </row>
    <row r="44" spans="3:9" ht="34.9" customHeight="1">
      <c r="C44" s="3623"/>
      <c r="D44" s="3623"/>
      <c r="E44" s="107" t="s">
        <v>3590</v>
      </c>
      <c r="F44" s="106">
        <v>0</v>
      </c>
      <c r="G44" s="106" t="s">
        <v>765</v>
      </c>
      <c r="H44" s="106">
        <v>70</v>
      </c>
      <c r="I44" s="106">
        <v>90</v>
      </c>
    </row>
    <row r="45" spans="3:9" ht="34.9" customHeight="1">
      <c r="C45" s="3623"/>
      <c r="D45" s="3623"/>
      <c r="E45" s="107" t="s">
        <v>3591</v>
      </c>
      <c r="F45" s="106">
        <v>0</v>
      </c>
      <c r="G45" s="106">
        <v>2</v>
      </c>
      <c r="H45" s="106">
        <v>2</v>
      </c>
      <c r="I45" s="106">
        <v>2</v>
      </c>
    </row>
    <row r="46" spans="3:9" ht="34.9" customHeight="1">
      <c r="C46" s="3623"/>
      <c r="D46" s="3623"/>
      <c r="E46" s="107" t="s">
        <v>2313</v>
      </c>
      <c r="F46" s="106">
        <v>0</v>
      </c>
      <c r="G46" s="106">
        <v>0</v>
      </c>
      <c r="H46" s="106" t="s">
        <v>3592</v>
      </c>
      <c r="I46" s="106" t="s">
        <v>3593</v>
      </c>
    </row>
    <row r="47" spans="3:9" ht="28.5" customHeight="1">
      <c r="C47" s="3624"/>
      <c r="D47" s="3624"/>
      <c r="E47" s="3624"/>
      <c r="F47" s="3624"/>
      <c r="G47" s="3624"/>
      <c r="H47" s="3624"/>
      <c r="I47" s="656"/>
    </row>
    <row r="48" spans="3:9" ht="34.9" customHeight="1">
      <c r="C48" s="3622">
        <v>4</v>
      </c>
      <c r="D48" s="3623" t="s">
        <v>2906</v>
      </c>
      <c r="E48" s="107" t="s">
        <v>737</v>
      </c>
      <c r="F48" s="106">
        <v>350</v>
      </c>
      <c r="G48" s="106">
        <v>350</v>
      </c>
      <c r="H48" s="106">
        <v>400</v>
      </c>
      <c r="I48" s="106">
        <v>420</v>
      </c>
    </row>
    <row r="49" spans="3:9" ht="34.9" customHeight="1">
      <c r="C49" s="3622"/>
      <c r="D49" s="3623"/>
      <c r="E49" s="107" t="s">
        <v>764</v>
      </c>
      <c r="F49" s="106">
        <v>9</v>
      </c>
      <c r="G49" s="106">
        <v>9</v>
      </c>
      <c r="H49" s="106">
        <v>10</v>
      </c>
      <c r="I49" s="106">
        <v>11</v>
      </c>
    </row>
    <row r="50" spans="3:9" ht="34.9" customHeight="1">
      <c r="C50" s="3622"/>
      <c r="D50" s="3623"/>
      <c r="E50" s="107" t="s">
        <v>757</v>
      </c>
      <c r="F50" s="106">
        <v>4</v>
      </c>
      <c r="G50" s="106">
        <v>4</v>
      </c>
      <c r="H50" s="106">
        <v>4</v>
      </c>
      <c r="I50" s="106">
        <v>4</v>
      </c>
    </row>
    <row r="51" spans="3:9" ht="34.9" customHeight="1">
      <c r="C51" s="3622"/>
      <c r="D51" s="3623"/>
      <c r="E51" s="107" t="s">
        <v>743</v>
      </c>
      <c r="F51" s="106">
        <v>1</v>
      </c>
      <c r="G51" s="106">
        <v>1</v>
      </c>
      <c r="H51" s="106">
        <v>1</v>
      </c>
      <c r="I51" s="106">
        <v>1</v>
      </c>
    </row>
    <row r="52" spans="3:9" ht="34.9" customHeight="1">
      <c r="C52" s="3622"/>
      <c r="D52" s="3623"/>
      <c r="E52" s="107" t="s">
        <v>767</v>
      </c>
      <c r="F52" s="106">
        <v>1</v>
      </c>
      <c r="G52" s="106">
        <v>1</v>
      </c>
      <c r="H52" s="106">
        <v>1</v>
      </c>
      <c r="I52" s="106">
        <v>1</v>
      </c>
    </row>
    <row r="53" spans="3:9" ht="34.9" customHeight="1">
      <c r="C53" s="3622"/>
      <c r="D53" s="3623"/>
      <c r="E53" s="107" t="s">
        <v>745</v>
      </c>
      <c r="F53" s="106" t="s">
        <v>759</v>
      </c>
      <c r="G53" s="106" t="s">
        <v>759</v>
      </c>
      <c r="H53" s="106" t="s">
        <v>759</v>
      </c>
      <c r="I53" s="106" t="s">
        <v>759</v>
      </c>
    </row>
    <row r="54" spans="3:9" ht="34.9" customHeight="1">
      <c r="C54" s="3622"/>
      <c r="D54" s="3623"/>
      <c r="E54" s="107" t="s">
        <v>749</v>
      </c>
      <c r="F54" s="106" t="s">
        <v>760</v>
      </c>
      <c r="G54" s="106" t="s">
        <v>760</v>
      </c>
      <c r="H54" s="106" t="s">
        <v>2656</v>
      </c>
      <c r="I54" s="106" t="s">
        <v>2656</v>
      </c>
    </row>
    <row r="55" spans="3:9" ht="34.9" customHeight="1">
      <c r="C55" s="3622"/>
      <c r="D55" s="3623"/>
      <c r="E55" s="107" t="s">
        <v>751</v>
      </c>
      <c r="F55" s="106">
        <v>1</v>
      </c>
      <c r="G55" s="106">
        <v>1</v>
      </c>
      <c r="H55" s="106">
        <v>1</v>
      </c>
      <c r="I55" s="106">
        <v>1</v>
      </c>
    </row>
    <row r="56" spans="3:9" ht="34.9" customHeight="1">
      <c r="C56" s="3622"/>
      <c r="D56" s="3623"/>
      <c r="E56" s="107" t="s">
        <v>752</v>
      </c>
      <c r="F56" s="106" t="s">
        <v>763</v>
      </c>
      <c r="G56" s="106" t="s">
        <v>754</v>
      </c>
      <c r="H56" s="106" t="s">
        <v>763</v>
      </c>
      <c r="I56" s="106" t="s">
        <v>763</v>
      </c>
    </row>
    <row r="57" spans="3:9" ht="34.9" customHeight="1">
      <c r="C57" s="3622"/>
      <c r="D57" s="3623"/>
      <c r="E57" s="107" t="s">
        <v>755</v>
      </c>
      <c r="F57" s="106">
        <v>40</v>
      </c>
      <c r="G57" s="106">
        <v>40</v>
      </c>
      <c r="H57" s="106">
        <v>40</v>
      </c>
      <c r="I57" s="106">
        <v>40</v>
      </c>
    </row>
    <row r="58" spans="3:9" ht="28.5" customHeight="1">
      <c r="C58" s="3624"/>
      <c r="D58" s="3624"/>
      <c r="E58" s="3624"/>
      <c r="F58" s="3624"/>
      <c r="G58" s="3624"/>
      <c r="H58" s="3624"/>
      <c r="I58" s="656"/>
    </row>
    <row r="59" spans="3:9" ht="34.9" customHeight="1">
      <c r="C59" s="3622">
        <v>5</v>
      </c>
      <c r="D59" s="3623" t="s">
        <v>3597</v>
      </c>
      <c r="E59" s="107" t="s">
        <v>737</v>
      </c>
      <c r="F59" s="106">
        <v>350</v>
      </c>
      <c r="G59" s="106">
        <v>36</v>
      </c>
      <c r="H59" s="106">
        <v>50</v>
      </c>
      <c r="I59" s="106">
        <v>100</v>
      </c>
    </row>
    <row r="60" spans="3:9" ht="34.9" customHeight="1">
      <c r="C60" s="3622"/>
      <c r="D60" s="3623"/>
      <c r="E60" s="107" t="s">
        <v>764</v>
      </c>
      <c r="F60" s="106">
        <v>9</v>
      </c>
      <c r="G60" s="106">
        <v>1</v>
      </c>
      <c r="H60" s="106">
        <v>1</v>
      </c>
      <c r="I60" s="106">
        <v>1</v>
      </c>
    </row>
    <row r="61" spans="3:9" ht="34.9" customHeight="1">
      <c r="C61" s="3622"/>
      <c r="D61" s="3623"/>
      <c r="E61" s="107" t="s">
        <v>757</v>
      </c>
      <c r="F61" s="106">
        <v>4</v>
      </c>
      <c r="G61" s="106">
        <v>2</v>
      </c>
      <c r="H61" s="106">
        <v>4</v>
      </c>
      <c r="I61" s="106">
        <v>6</v>
      </c>
    </row>
    <row r="62" spans="3:9" ht="34.9" customHeight="1">
      <c r="C62" s="3622"/>
      <c r="D62" s="3623"/>
      <c r="E62" s="107" t="s">
        <v>743</v>
      </c>
      <c r="F62" s="106">
        <v>1</v>
      </c>
      <c r="G62" s="106">
        <v>2</v>
      </c>
      <c r="H62" s="106">
        <v>2</v>
      </c>
      <c r="I62" s="106">
        <v>2</v>
      </c>
    </row>
    <row r="63" spans="3:9" ht="34.9" customHeight="1">
      <c r="C63" s="3622"/>
      <c r="D63" s="3623"/>
      <c r="E63" s="107" t="s">
        <v>767</v>
      </c>
      <c r="F63" s="106">
        <v>1</v>
      </c>
      <c r="G63" s="106">
        <v>0</v>
      </c>
      <c r="H63" s="106">
        <v>1</v>
      </c>
      <c r="I63" s="106">
        <v>1</v>
      </c>
    </row>
    <row r="64" spans="3:9" ht="34.9" customHeight="1">
      <c r="C64" s="3622"/>
      <c r="D64" s="3623"/>
      <c r="E64" s="107" t="s">
        <v>745</v>
      </c>
      <c r="F64" s="106" t="s">
        <v>759</v>
      </c>
      <c r="G64" s="106" t="s">
        <v>768</v>
      </c>
      <c r="H64" s="106" t="s">
        <v>761</v>
      </c>
      <c r="I64" s="106" t="s">
        <v>768</v>
      </c>
    </row>
    <row r="65" spans="3:9" ht="34.9" customHeight="1">
      <c r="C65" s="3622"/>
      <c r="D65" s="3623"/>
      <c r="E65" s="107" t="s">
        <v>749</v>
      </c>
      <c r="F65" s="106" t="s">
        <v>760</v>
      </c>
      <c r="G65" s="106" t="s">
        <v>3598</v>
      </c>
      <c r="H65" s="106" t="s">
        <v>3599</v>
      </c>
      <c r="I65" s="106" t="s">
        <v>3600</v>
      </c>
    </row>
    <row r="66" spans="3:9" ht="34.9" customHeight="1">
      <c r="C66" s="3622"/>
      <c r="D66" s="3623"/>
      <c r="E66" s="107" t="s">
        <v>751</v>
      </c>
      <c r="F66" s="106">
        <v>1</v>
      </c>
      <c r="G66" s="106">
        <v>1</v>
      </c>
      <c r="H66" s="106">
        <v>1</v>
      </c>
      <c r="I66" s="106">
        <v>1</v>
      </c>
    </row>
    <row r="67" spans="3:9" ht="34.9" customHeight="1">
      <c r="C67" s="3622"/>
      <c r="D67" s="3623"/>
      <c r="E67" s="107" t="s">
        <v>752</v>
      </c>
      <c r="F67" s="106" t="s">
        <v>763</v>
      </c>
      <c r="G67" s="106" t="s">
        <v>754</v>
      </c>
      <c r="H67" s="106" t="s">
        <v>763</v>
      </c>
      <c r="I67" s="106" t="s">
        <v>763</v>
      </c>
    </row>
    <row r="68" spans="3:9" ht="34.9" customHeight="1">
      <c r="C68" s="3622"/>
      <c r="D68" s="3623"/>
      <c r="E68" s="107" t="s">
        <v>755</v>
      </c>
      <c r="F68" s="106">
        <v>40</v>
      </c>
      <c r="G68" s="106">
        <v>2</v>
      </c>
      <c r="H68" s="106">
        <v>6</v>
      </c>
      <c r="I68" s="106">
        <v>10</v>
      </c>
    </row>
    <row r="69" spans="3:9" ht="25.5" customHeight="1">
      <c r="C69" s="3624"/>
      <c r="D69" s="3624"/>
      <c r="E69" s="3624"/>
      <c r="F69" s="3624"/>
      <c r="G69" s="3624"/>
      <c r="H69" s="3624"/>
      <c r="I69" s="656"/>
    </row>
    <row r="70" spans="3:9" ht="34.9" customHeight="1">
      <c r="C70" s="3622">
        <v>6</v>
      </c>
      <c r="D70" s="3623" t="s">
        <v>2708</v>
      </c>
      <c r="E70" s="107" t="s">
        <v>2416</v>
      </c>
      <c r="F70" s="106">
        <v>360</v>
      </c>
      <c r="G70" s="106">
        <v>370</v>
      </c>
      <c r="H70" s="106">
        <v>370</v>
      </c>
      <c r="I70" s="106">
        <v>380</v>
      </c>
    </row>
    <row r="71" spans="3:9" ht="34.9" customHeight="1">
      <c r="C71" s="3622"/>
      <c r="D71" s="3623"/>
      <c r="E71" s="107" t="s">
        <v>2417</v>
      </c>
      <c r="F71" s="106">
        <v>100</v>
      </c>
      <c r="G71" s="106">
        <v>100</v>
      </c>
      <c r="H71" s="106">
        <v>100</v>
      </c>
      <c r="I71" s="106">
        <v>100</v>
      </c>
    </row>
    <row r="72" spans="3:9" ht="34.9" customHeight="1">
      <c r="C72" s="3622"/>
      <c r="D72" s="3623"/>
      <c r="E72" s="107" t="s">
        <v>769</v>
      </c>
      <c r="F72" s="106">
        <v>5</v>
      </c>
      <c r="G72" s="106">
        <v>5</v>
      </c>
      <c r="H72" s="106">
        <v>6</v>
      </c>
      <c r="I72" s="106">
        <v>6</v>
      </c>
    </row>
    <row r="73" spans="3:9" ht="34.9" customHeight="1">
      <c r="C73" s="3622"/>
      <c r="D73" s="3623"/>
      <c r="E73" s="107" t="s">
        <v>2418</v>
      </c>
      <c r="F73" s="106">
        <v>6</v>
      </c>
      <c r="G73" s="106">
        <v>6</v>
      </c>
      <c r="H73" s="106">
        <v>7</v>
      </c>
      <c r="I73" s="106">
        <v>8</v>
      </c>
    </row>
    <row r="74" spans="3:9" ht="34.9" customHeight="1">
      <c r="C74" s="3622"/>
      <c r="D74" s="3623"/>
      <c r="E74" s="107" t="s">
        <v>2419</v>
      </c>
      <c r="F74" s="106">
        <v>90</v>
      </c>
      <c r="G74" s="106">
        <v>90</v>
      </c>
      <c r="H74" s="106">
        <v>105</v>
      </c>
      <c r="I74" s="106">
        <v>120</v>
      </c>
    </row>
    <row r="75" spans="3:9" ht="34.9" customHeight="1">
      <c r="C75" s="3622"/>
      <c r="D75" s="3623"/>
      <c r="E75" s="107" t="s">
        <v>2420</v>
      </c>
      <c r="F75" s="106">
        <v>18</v>
      </c>
      <c r="G75" s="106">
        <v>18</v>
      </c>
      <c r="H75" s="106">
        <v>19</v>
      </c>
      <c r="I75" s="106">
        <v>22</v>
      </c>
    </row>
    <row r="76" spans="3:9" ht="42" customHeight="1">
      <c r="C76" s="3622"/>
      <c r="D76" s="3623"/>
      <c r="E76" s="107" t="s">
        <v>2421</v>
      </c>
      <c r="F76" s="106">
        <v>4</v>
      </c>
      <c r="G76" s="106">
        <v>5</v>
      </c>
      <c r="H76" s="106">
        <v>5</v>
      </c>
      <c r="I76" s="106">
        <v>6</v>
      </c>
    </row>
    <row r="77" spans="3:9" ht="41.25" customHeight="1">
      <c r="C77" s="3622"/>
      <c r="D77" s="3623"/>
      <c r="E77" s="107" t="s">
        <v>2422</v>
      </c>
      <c r="F77" s="106">
        <v>3</v>
      </c>
      <c r="G77" s="106">
        <v>3</v>
      </c>
      <c r="H77" s="106">
        <v>3</v>
      </c>
      <c r="I77" s="106">
        <v>3</v>
      </c>
    </row>
    <row r="78" spans="3:9" ht="64.5" customHeight="1">
      <c r="C78" s="3622"/>
      <c r="D78" s="3623"/>
      <c r="E78" s="107" t="s">
        <v>3619</v>
      </c>
      <c r="F78" s="661" t="s">
        <v>3594</v>
      </c>
      <c r="G78" s="106">
        <v>6</v>
      </c>
      <c r="H78" s="106">
        <v>6</v>
      </c>
      <c r="I78" s="106">
        <v>7</v>
      </c>
    </row>
    <row r="79" spans="3:9" ht="34.9" customHeight="1">
      <c r="C79" s="3622"/>
      <c r="D79" s="3623"/>
      <c r="E79" s="107" t="s">
        <v>749</v>
      </c>
      <c r="F79" s="106">
        <v>23</v>
      </c>
      <c r="G79" s="106" t="s">
        <v>2440</v>
      </c>
      <c r="H79" s="106" t="s">
        <v>2440</v>
      </c>
      <c r="I79" s="106" t="s">
        <v>746</v>
      </c>
    </row>
    <row r="80" spans="3:9" ht="34.9" customHeight="1">
      <c r="C80" s="3622"/>
      <c r="D80" s="3623"/>
      <c r="E80" s="107" t="s">
        <v>752</v>
      </c>
      <c r="F80" s="106">
        <v>100</v>
      </c>
      <c r="G80" s="106">
        <v>100</v>
      </c>
      <c r="H80" s="106">
        <v>100</v>
      </c>
      <c r="I80" s="106">
        <v>100</v>
      </c>
    </row>
    <row r="81" spans="3:9" ht="34.9" customHeight="1">
      <c r="C81" s="3622"/>
      <c r="D81" s="3623"/>
      <c r="E81" s="107" t="s">
        <v>2423</v>
      </c>
      <c r="F81" s="106">
        <v>80</v>
      </c>
      <c r="G81" s="106">
        <v>90</v>
      </c>
      <c r="H81" s="106">
        <v>90</v>
      </c>
      <c r="I81" s="106">
        <v>95</v>
      </c>
    </row>
    <row r="82" spans="3:9" ht="41.25" customHeight="1">
      <c r="C82" s="3622"/>
      <c r="D82" s="3623"/>
      <c r="E82" s="107" t="s">
        <v>2424</v>
      </c>
      <c r="F82" s="106">
        <v>5</v>
      </c>
      <c r="G82" s="106">
        <v>5</v>
      </c>
      <c r="H82" s="106">
        <v>6</v>
      </c>
      <c r="I82" s="674">
        <v>7</v>
      </c>
    </row>
    <row r="83" spans="3:9" ht="28.5" customHeight="1">
      <c r="C83" s="3624"/>
      <c r="D83" s="3624"/>
      <c r="E83" s="3624"/>
      <c r="F83" s="3624"/>
      <c r="G83" s="3624"/>
      <c r="H83" s="3646"/>
      <c r="I83" s="941"/>
    </row>
    <row r="84" spans="3:9" ht="27.75" customHeight="1">
      <c r="C84" s="3641">
        <v>7</v>
      </c>
      <c r="D84" s="3623" t="s">
        <v>2905</v>
      </c>
      <c r="E84" s="727" t="s">
        <v>744</v>
      </c>
      <c r="F84" s="674">
        <v>1</v>
      </c>
      <c r="G84" s="674">
        <v>1</v>
      </c>
      <c r="H84" s="674">
        <v>1</v>
      </c>
      <c r="I84" s="681">
        <v>1</v>
      </c>
    </row>
    <row r="85" spans="3:9" ht="34.9" customHeight="1">
      <c r="C85" s="3641"/>
      <c r="D85" s="3623"/>
      <c r="E85" s="107" t="s">
        <v>745</v>
      </c>
      <c r="F85" s="106" t="s">
        <v>770</v>
      </c>
      <c r="G85" s="106" t="s">
        <v>770</v>
      </c>
      <c r="H85" s="106" t="s">
        <v>750</v>
      </c>
      <c r="I85" s="106" t="s">
        <v>746</v>
      </c>
    </row>
    <row r="86" spans="3:9" ht="34.9" customHeight="1">
      <c r="C86" s="3641"/>
      <c r="D86" s="3623"/>
      <c r="E86" s="107" t="s">
        <v>749</v>
      </c>
      <c r="F86" s="106" t="s">
        <v>771</v>
      </c>
      <c r="G86" s="106" t="s">
        <v>771</v>
      </c>
      <c r="H86" s="106" t="s">
        <v>772</v>
      </c>
      <c r="I86" s="106" t="s">
        <v>3831</v>
      </c>
    </row>
    <row r="87" spans="3:9" ht="34.9" customHeight="1">
      <c r="C87" s="3641"/>
      <c r="D87" s="3623"/>
      <c r="E87" s="107" t="s">
        <v>751</v>
      </c>
      <c r="F87" s="106">
        <v>1</v>
      </c>
      <c r="G87" s="106">
        <v>1</v>
      </c>
      <c r="H87" s="106">
        <v>3</v>
      </c>
      <c r="I87" s="106">
        <v>3</v>
      </c>
    </row>
    <row r="88" spans="3:9" ht="34.9" customHeight="1">
      <c r="C88" s="3641"/>
      <c r="D88" s="3623"/>
      <c r="E88" s="107" t="s">
        <v>752</v>
      </c>
      <c r="F88" s="106" t="s">
        <v>763</v>
      </c>
      <c r="G88" s="106" t="s">
        <v>754</v>
      </c>
      <c r="H88" s="106" t="s">
        <v>754</v>
      </c>
      <c r="I88" s="106" t="s">
        <v>754</v>
      </c>
    </row>
    <row r="89" spans="3:9" ht="34.9" customHeight="1">
      <c r="C89" s="3641"/>
      <c r="D89" s="3623"/>
      <c r="E89" s="107" t="s">
        <v>755</v>
      </c>
      <c r="F89" s="106">
        <v>10</v>
      </c>
      <c r="G89" s="106">
        <v>10</v>
      </c>
      <c r="H89" s="106">
        <v>36</v>
      </c>
      <c r="I89" s="106">
        <v>36</v>
      </c>
    </row>
    <row r="90" spans="3:9" ht="34.9" customHeight="1">
      <c r="C90" s="3641"/>
      <c r="D90" s="3623"/>
      <c r="E90" s="107" t="s">
        <v>773</v>
      </c>
      <c r="F90" s="106">
        <v>4</v>
      </c>
      <c r="G90" s="106">
        <v>4</v>
      </c>
      <c r="H90" s="106">
        <v>12</v>
      </c>
      <c r="I90" s="106">
        <v>12</v>
      </c>
    </row>
    <row r="91" spans="3:9" ht="34.9" customHeight="1">
      <c r="C91" s="3641"/>
      <c r="D91" s="3623"/>
      <c r="E91" s="107" t="s">
        <v>757</v>
      </c>
      <c r="F91" s="106">
        <v>4</v>
      </c>
      <c r="G91" s="106">
        <v>4</v>
      </c>
      <c r="H91" s="106">
        <v>10</v>
      </c>
      <c r="I91" s="106">
        <v>10</v>
      </c>
    </row>
    <row r="92" spans="3:9" ht="24.75" customHeight="1">
      <c r="C92" s="3624"/>
      <c r="D92" s="3624"/>
      <c r="E92" s="3624"/>
      <c r="F92" s="3624"/>
      <c r="G92" s="3624"/>
      <c r="H92" s="3624"/>
      <c r="I92" s="656"/>
    </row>
    <row r="93" spans="3:9" ht="34.9" customHeight="1">
      <c r="C93" s="3630">
        <v>8</v>
      </c>
      <c r="D93" s="3630" t="s">
        <v>2904</v>
      </c>
      <c r="E93" s="107" t="s">
        <v>2425</v>
      </c>
      <c r="F93" s="106">
        <v>4</v>
      </c>
      <c r="G93" s="106">
        <v>5</v>
      </c>
      <c r="H93" s="106">
        <v>5</v>
      </c>
      <c r="I93" s="106">
        <v>5</v>
      </c>
    </row>
    <row r="94" spans="3:9" ht="34.9" customHeight="1">
      <c r="C94" s="3631"/>
      <c r="D94" s="3631"/>
      <c r="E94" s="107" t="s">
        <v>2426</v>
      </c>
      <c r="F94" s="106" t="s">
        <v>2427</v>
      </c>
      <c r="G94" s="106">
        <v>1700</v>
      </c>
      <c r="H94" s="106">
        <v>1800</v>
      </c>
      <c r="I94" s="106">
        <v>1900</v>
      </c>
    </row>
    <row r="95" spans="3:9" ht="49.5" customHeight="1">
      <c r="C95" s="3631"/>
      <c r="D95" s="3631"/>
      <c r="E95" s="107" t="s">
        <v>2430</v>
      </c>
      <c r="F95" s="106" t="s">
        <v>2431</v>
      </c>
      <c r="G95" s="106">
        <v>3</v>
      </c>
      <c r="H95" s="106">
        <v>4</v>
      </c>
      <c r="I95" s="106">
        <v>4</v>
      </c>
    </row>
    <row r="96" spans="3:9" ht="34.9" customHeight="1">
      <c r="C96" s="3631"/>
      <c r="D96" s="3631"/>
      <c r="E96" s="107" t="s">
        <v>2432</v>
      </c>
      <c r="F96" s="106" t="s">
        <v>2431</v>
      </c>
      <c r="G96" s="106">
        <v>1</v>
      </c>
      <c r="H96" s="106">
        <v>1</v>
      </c>
      <c r="I96" s="106">
        <v>1</v>
      </c>
    </row>
    <row r="97" spans="3:9" ht="57.75" customHeight="1">
      <c r="C97" s="3631"/>
      <c r="D97" s="3631"/>
      <c r="E97" s="107" t="s">
        <v>2433</v>
      </c>
      <c r="F97" s="106" t="s">
        <v>2434</v>
      </c>
      <c r="G97" s="106">
        <v>5</v>
      </c>
      <c r="H97" s="106">
        <v>5</v>
      </c>
      <c r="I97" s="106">
        <v>5</v>
      </c>
    </row>
    <row r="98" spans="3:9" ht="45" customHeight="1">
      <c r="C98" s="3631"/>
      <c r="D98" s="3631"/>
      <c r="E98" s="107" t="s">
        <v>2435</v>
      </c>
      <c r="F98" s="106" t="s">
        <v>2431</v>
      </c>
      <c r="G98" s="106">
        <v>2</v>
      </c>
      <c r="H98" s="106">
        <v>2</v>
      </c>
      <c r="I98" s="106">
        <v>2</v>
      </c>
    </row>
    <row r="99" spans="3:9" ht="45" customHeight="1">
      <c r="C99" s="3631"/>
      <c r="D99" s="3631"/>
      <c r="E99" s="107" t="s">
        <v>3595</v>
      </c>
      <c r="F99" s="106"/>
      <c r="G99" s="106">
        <v>6000</v>
      </c>
      <c r="H99" s="106">
        <v>7000</v>
      </c>
      <c r="I99" s="106">
        <v>8000</v>
      </c>
    </row>
    <row r="100" spans="3:9" ht="45" customHeight="1">
      <c r="C100" s="3631"/>
      <c r="D100" s="3631"/>
      <c r="E100" s="107" t="s">
        <v>3596</v>
      </c>
      <c r="F100" s="106"/>
      <c r="G100" s="106">
        <v>31000</v>
      </c>
      <c r="H100" s="106">
        <v>32000</v>
      </c>
      <c r="I100" s="106">
        <v>33000</v>
      </c>
    </row>
    <row r="101" spans="3:9" ht="56.25" customHeight="1">
      <c r="C101" s="3632"/>
      <c r="D101" s="3632"/>
      <c r="E101" s="107" t="s">
        <v>2436</v>
      </c>
      <c r="F101" s="106" t="s">
        <v>2431</v>
      </c>
      <c r="G101" s="106">
        <v>2</v>
      </c>
      <c r="H101" s="106">
        <v>2</v>
      </c>
      <c r="I101" s="106">
        <v>2</v>
      </c>
    </row>
    <row r="102" spans="3:9" ht="24" customHeight="1">
      <c r="C102" s="3624"/>
      <c r="D102" s="3624"/>
      <c r="E102" s="3624"/>
      <c r="F102" s="3624"/>
      <c r="G102" s="3624"/>
      <c r="H102" s="3624"/>
      <c r="I102" s="656"/>
    </row>
    <row r="103" spans="3:9" ht="34.9" customHeight="1">
      <c r="C103" s="3622">
        <v>9</v>
      </c>
      <c r="D103" s="3623" t="s">
        <v>774</v>
      </c>
      <c r="E103" s="107" t="s">
        <v>4077</v>
      </c>
      <c r="F103" s="106"/>
      <c r="G103" s="106">
        <v>1</v>
      </c>
      <c r="H103" s="106">
        <v>1</v>
      </c>
      <c r="I103" s="106">
        <v>1</v>
      </c>
    </row>
    <row r="104" spans="3:9" ht="34.9" customHeight="1">
      <c r="C104" s="3622"/>
      <c r="D104" s="3623"/>
      <c r="E104" s="107" t="s">
        <v>3103</v>
      </c>
      <c r="F104" s="106"/>
      <c r="G104" s="106">
        <v>120</v>
      </c>
      <c r="H104" s="106">
        <v>130</v>
      </c>
      <c r="I104" s="106">
        <v>130</v>
      </c>
    </row>
    <row r="105" spans="3:9" ht="47.25" customHeight="1">
      <c r="C105" s="3622"/>
      <c r="D105" s="3623"/>
      <c r="E105" s="107" t="s">
        <v>4078</v>
      </c>
      <c r="F105" s="106"/>
      <c r="G105" s="106">
        <v>25</v>
      </c>
      <c r="H105" s="106">
        <v>27</v>
      </c>
      <c r="I105" s="106">
        <v>28</v>
      </c>
    </row>
    <row r="106" spans="3:9" ht="34.9" customHeight="1">
      <c r="C106" s="3622"/>
      <c r="D106" s="3623"/>
      <c r="E106" s="107" t="s">
        <v>4079</v>
      </c>
      <c r="F106" s="106"/>
      <c r="G106" s="106">
        <v>10</v>
      </c>
      <c r="H106" s="106">
        <v>10</v>
      </c>
      <c r="I106" s="106">
        <v>0</v>
      </c>
    </row>
    <row r="107" spans="3:9" ht="34.9" customHeight="1">
      <c r="C107" s="3622"/>
      <c r="D107" s="3623"/>
      <c r="E107" s="107" t="s">
        <v>4080</v>
      </c>
      <c r="F107" s="106"/>
      <c r="G107" s="106">
        <v>120</v>
      </c>
      <c r="H107" s="106">
        <v>1130</v>
      </c>
      <c r="I107" s="106">
        <v>0</v>
      </c>
    </row>
    <row r="108" spans="3:9" ht="34.9" customHeight="1">
      <c r="C108" s="3622"/>
      <c r="D108" s="3623"/>
      <c r="E108" s="107" t="s">
        <v>4081</v>
      </c>
      <c r="F108" s="106"/>
      <c r="G108" s="106">
        <v>3</v>
      </c>
      <c r="H108" s="106">
        <v>3</v>
      </c>
      <c r="I108" s="106">
        <v>0</v>
      </c>
    </row>
    <row r="109" spans="3:9" ht="34.9" customHeight="1">
      <c r="C109" s="3622"/>
      <c r="D109" s="3623"/>
      <c r="E109" s="107" t="s">
        <v>4082</v>
      </c>
      <c r="F109" s="106"/>
      <c r="G109" s="106">
        <v>1</v>
      </c>
      <c r="H109" s="106">
        <v>1</v>
      </c>
      <c r="I109" s="106">
        <v>0</v>
      </c>
    </row>
    <row r="110" spans="3:9" ht="34.9" customHeight="1">
      <c r="C110" s="3622"/>
      <c r="D110" s="3623"/>
      <c r="E110" s="107" t="s">
        <v>4083</v>
      </c>
      <c r="F110" s="106"/>
      <c r="G110" s="106">
        <v>4</v>
      </c>
      <c r="H110" s="106">
        <v>4</v>
      </c>
      <c r="I110" s="106">
        <v>0</v>
      </c>
    </row>
    <row r="111" spans="3:9" ht="34.9" customHeight="1">
      <c r="C111" s="3622"/>
      <c r="D111" s="3623"/>
      <c r="E111" s="107" t="s">
        <v>4084</v>
      </c>
      <c r="F111" s="106"/>
      <c r="G111" s="106">
        <v>1</v>
      </c>
      <c r="H111" s="106">
        <v>1</v>
      </c>
      <c r="I111" s="106">
        <v>0</v>
      </c>
    </row>
    <row r="112" spans="3:9" ht="34.9" customHeight="1">
      <c r="C112" s="3622"/>
      <c r="D112" s="3623"/>
      <c r="E112" s="107" t="s">
        <v>4085</v>
      </c>
      <c r="F112" s="106"/>
      <c r="G112" s="106">
        <v>5</v>
      </c>
      <c r="H112" s="106">
        <v>6</v>
      </c>
      <c r="I112" s="106">
        <v>7</v>
      </c>
    </row>
    <row r="113" spans="3:9" ht="34.9" customHeight="1">
      <c r="C113" s="3622"/>
      <c r="D113" s="3623"/>
      <c r="E113" s="107" t="s">
        <v>4086</v>
      </c>
      <c r="F113" s="106"/>
      <c r="G113" s="106">
        <v>0</v>
      </c>
      <c r="H113" s="106">
        <v>1</v>
      </c>
      <c r="I113" s="106">
        <v>1</v>
      </c>
    </row>
    <row r="114" spans="3:9" ht="27" customHeight="1">
      <c r="C114" s="3624"/>
      <c r="D114" s="3624"/>
      <c r="E114" s="3624"/>
      <c r="F114" s="3624"/>
      <c r="G114" s="3624"/>
      <c r="H114" s="3624"/>
      <c r="I114" s="656"/>
    </row>
    <row r="115" spans="3:9" ht="34.9" customHeight="1">
      <c r="C115" s="3630">
        <v>10</v>
      </c>
      <c r="D115" s="3630" t="s">
        <v>2900</v>
      </c>
      <c r="E115" s="3636" t="s">
        <v>3651</v>
      </c>
      <c r="F115" s="3626" t="s">
        <v>2608</v>
      </c>
      <c r="G115" s="3626">
        <v>3</v>
      </c>
      <c r="H115" s="3625">
        <v>3</v>
      </c>
      <c r="I115" s="3625">
        <v>3</v>
      </c>
    </row>
    <row r="116" spans="3:9" ht="9" customHeight="1">
      <c r="C116" s="3631"/>
      <c r="D116" s="3631"/>
      <c r="E116" s="3637"/>
      <c r="F116" s="3627"/>
      <c r="G116" s="3627"/>
      <c r="H116" s="3625"/>
      <c r="I116" s="3625"/>
    </row>
    <row r="117" spans="3:9" ht="28.9" customHeight="1">
      <c r="C117" s="3631"/>
      <c r="D117" s="3631"/>
      <c r="E117" s="3642" t="s">
        <v>3652</v>
      </c>
      <c r="F117" s="3625" t="s">
        <v>2609</v>
      </c>
      <c r="G117" s="3625">
        <v>24</v>
      </c>
      <c r="H117" s="3625">
        <v>4</v>
      </c>
      <c r="I117" s="3625">
        <v>18</v>
      </c>
    </row>
    <row r="118" spans="3:9" ht="6" customHeight="1">
      <c r="C118" s="3631"/>
      <c r="D118" s="3631"/>
      <c r="E118" s="3642"/>
      <c r="F118" s="3625"/>
      <c r="G118" s="3625"/>
      <c r="H118" s="3625"/>
      <c r="I118" s="3625"/>
    </row>
    <row r="119" spans="3:9" ht="28.9" customHeight="1">
      <c r="C119" s="3631"/>
      <c r="D119" s="3631"/>
      <c r="E119" s="3636" t="s">
        <v>3670</v>
      </c>
      <c r="F119" s="3626" t="s">
        <v>2610</v>
      </c>
      <c r="G119" s="3626" t="s">
        <v>3671</v>
      </c>
      <c r="H119" s="3626">
        <v>85100</v>
      </c>
      <c r="I119" s="3626">
        <v>87653</v>
      </c>
    </row>
    <row r="120" spans="3:9" ht="12.6" customHeight="1">
      <c r="C120" s="3631"/>
      <c r="D120" s="3631"/>
      <c r="E120" s="3637" t="s">
        <v>2611</v>
      </c>
      <c r="F120" s="3627"/>
      <c r="G120" s="3627"/>
      <c r="H120" s="3627"/>
      <c r="I120" s="3627"/>
    </row>
    <row r="121" spans="3:9" ht="33.6" customHeight="1">
      <c r="C121" s="3631"/>
      <c r="D121" s="3631"/>
      <c r="E121" s="684" t="s">
        <v>3672</v>
      </c>
      <c r="F121" s="681"/>
      <c r="G121" s="681" t="s">
        <v>2612</v>
      </c>
      <c r="H121" s="681" t="s">
        <v>2612</v>
      </c>
      <c r="I121" s="681" t="s">
        <v>2612</v>
      </c>
    </row>
    <row r="122" spans="3:9" ht="23.45" customHeight="1">
      <c r="C122" s="3631"/>
      <c r="D122" s="3631"/>
      <c r="E122" s="3636" t="s">
        <v>3673</v>
      </c>
      <c r="F122" s="3626" t="s">
        <v>2612</v>
      </c>
      <c r="G122" s="3626" t="s">
        <v>3674</v>
      </c>
      <c r="H122" s="3628"/>
      <c r="I122" s="3628"/>
    </row>
    <row r="123" spans="3:9" ht="17.45" customHeight="1">
      <c r="C123" s="3631"/>
      <c r="D123" s="3631"/>
      <c r="E123" s="3637" t="s">
        <v>2613</v>
      </c>
      <c r="F123" s="3627"/>
      <c r="G123" s="3627"/>
      <c r="H123" s="3629"/>
      <c r="I123" s="3629"/>
    </row>
    <row r="124" spans="3:9" ht="43.15" customHeight="1">
      <c r="C124" s="3631"/>
      <c r="D124" s="3631"/>
      <c r="E124" s="107" t="s">
        <v>2614</v>
      </c>
      <c r="F124" s="674" t="s">
        <v>2615</v>
      </c>
      <c r="G124" s="674" t="s">
        <v>2616</v>
      </c>
      <c r="H124" s="674" t="s">
        <v>2617</v>
      </c>
      <c r="I124" s="674" t="s">
        <v>3669</v>
      </c>
    </row>
    <row r="125" spans="3:9" ht="58.9" customHeight="1">
      <c r="C125" s="3631"/>
      <c r="D125" s="3631"/>
      <c r="E125" s="682" t="s">
        <v>2618</v>
      </c>
      <c r="F125" s="677" t="s">
        <v>2619</v>
      </c>
      <c r="G125" s="677" t="s">
        <v>3666</v>
      </c>
      <c r="H125" s="677" t="s">
        <v>3667</v>
      </c>
      <c r="I125" s="677" t="s">
        <v>3668</v>
      </c>
    </row>
    <row r="126" spans="3:9" ht="59.45" customHeight="1">
      <c r="C126" s="3631"/>
      <c r="D126" s="3631"/>
      <c r="E126" s="683" t="s">
        <v>2620</v>
      </c>
      <c r="F126" s="677" t="s">
        <v>2621</v>
      </c>
      <c r="G126" s="677" t="s">
        <v>3663</v>
      </c>
      <c r="H126" s="677" t="s">
        <v>3664</v>
      </c>
      <c r="I126" s="677" t="s">
        <v>3665</v>
      </c>
    </row>
    <row r="127" spans="3:9" ht="37.15" customHeight="1">
      <c r="C127" s="3631"/>
      <c r="D127" s="3631"/>
      <c r="E127" s="682" t="s">
        <v>2622</v>
      </c>
      <c r="F127" s="677" t="s">
        <v>2623</v>
      </c>
      <c r="G127" s="677" t="s">
        <v>777</v>
      </c>
      <c r="H127" s="677" t="s">
        <v>2627</v>
      </c>
      <c r="I127" s="677" t="s">
        <v>3662</v>
      </c>
    </row>
    <row r="128" spans="3:9" ht="60.6" customHeight="1">
      <c r="C128" s="3631"/>
      <c r="D128" s="3631"/>
      <c r="E128" s="682" t="s">
        <v>2624</v>
      </c>
      <c r="F128" s="677" t="s">
        <v>2625</v>
      </c>
      <c r="G128" s="677" t="s">
        <v>3657</v>
      </c>
      <c r="H128" s="677" t="s">
        <v>3658</v>
      </c>
      <c r="I128" s="677" t="s">
        <v>3659</v>
      </c>
    </row>
    <row r="129" spans="3:9" ht="49.15" customHeight="1">
      <c r="C129" s="3631"/>
      <c r="D129" s="3631"/>
      <c r="E129" s="682" t="s">
        <v>2626</v>
      </c>
      <c r="F129" s="677" t="s">
        <v>777</v>
      </c>
      <c r="G129" s="677" t="s">
        <v>3660</v>
      </c>
      <c r="H129" s="677" t="s">
        <v>2623</v>
      </c>
      <c r="I129" s="677" t="s">
        <v>3661</v>
      </c>
    </row>
    <row r="130" spans="3:9" ht="78" customHeight="1">
      <c r="C130" s="3631"/>
      <c r="D130" s="3631"/>
      <c r="E130" s="682" t="s">
        <v>2628</v>
      </c>
      <c r="F130" s="677" t="s">
        <v>2629</v>
      </c>
      <c r="G130" s="677" t="s">
        <v>2630</v>
      </c>
      <c r="H130" s="677" t="s">
        <v>2631</v>
      </c>
      <c r="I130" s="677" t="s">
        <v>3656</v>
      </c>
    </row>
    <row r="131" spans="3:9" ht="91.9" customHeight="1">
      <c r="C131" s="3631"/>
      <c r="D131" s="3631"/>
      <c r="E131" s="3634" t="s">
        <v>2632</v>
      </c>
      <c r="F131" s="677" t="s">
        <v>778</v>
      </c>
      <c r="G131" s="677" t="s">
        <v>778</v>
      </c>
      <c r="H131" s="677" t="s">
        <v>778</v>
      </c>
      <c r="I131" s="677" t="s">
        <v>778</v>
      </c>
    </row>
    <row r="132" spans="3:9" ht="139.15" customHeight="1">
      <c r="C132" s="3631"/>
      <c r="D132" s="3631"/>
      <c r="E132" s="3635"/>
      <c r="F132" s="677" t="s">
        <v>2633</v>
      </c>
      <c r="G132" s="677" t="s">
        <v>2633</v>
      </c>
      <c r="H132" s="677" t="s">
        <v>2633</v>
      </c>
      <c r="I132" s="677" t="s">
        <v>2633</v>
      </c>
    </row>
    <row r="133" spans="3:9" ht="66" customHeight="1">
      <c r="C133" s="3631"/>
      <c r="D133" s="3631"/>
      <c r="E133" s="3626" t="s">
        <v>2634</v>
      </c>
      <c r="F133" s="3643" t="s">
        <v>2635</v>
      </c>
      <c r="G133" s="3643"/>
      <c r="H133" s="3643"/>
      <c r="I133" s="677"/>
    </row>
    <row r="134" spans="3:9" ht="63.6" customHeight="1">
      <c r="C134" s="3631"/>
      <c r="D134" s="3631"/>
      <c r="E134" s="3648"/>
      <c r="F134" s="3643" t="s">
        <v>2636</v>
      </c>
      <c r="G134" s="3643"/>
      <c r="H134" s="3643"/>
      <c r="I134" s="677"/>
    </row>
    <row r="135" spans="3:9" ht="55.15" customHeight="1">
      <c r="C135" s="3631"/>
      <c r="D135" s="3631"/>
      <c r="E135" s="3648"/>
      <c r="F135" s="3643" t="s">
        <v>2637</v>
      </c>
      <c r="G135" s="3643"/>
      <c r="H135" s="3643"/>
      <c r="I135" s="677"/>
    </row>
    <row r="136" spans="3:9" ht="70.5" customHeight="1">
      <c r="C136" s="3631"/>
      <c r="D136" s="3631"/>
      <c r="E136" s="3627"/>
      <c r="F136" s="3643" t="s">
        <v>2638</v>
      </c>
      <c r="G136" s="3643"/>
      <c r="H136" s="3643"/>
      <c r="I136" s="677"/>
    </row>
    <row r="137" spans="3:9" ht="101.45" customHeight="1">
      <c r="C137" s="3631"/>
      <c r="D137" s="3631"/>
      <c r="E137" s="106" t="s">
        <v>2639</v>
      </c>
      <c r="F137" s="677" t="s">
        <v>2640</v>
      </c>
      <c r="G137" s="677" t="s">
        <v>2641</v>
      </c>
      <c r="H137" s="677" t="s">
        <v>2642</v>
      </c>
      <c r="I137" s="677" t="s">
        <v>3655</v>
      </c>
    </row>
    <row r="138" spans="3:9" ht="59.25" customHeight="1">
      <c r="C138" s="3631"/>
      <c r="D138" s="3631"/>
      <c r="E138" s="680" t="s">
        <v>2643</v>
      </c>
      <c r="F138" s="677" t="s">
        <v>2644</v>
      </c>
      <c r="G138" s="677" t="s">
        <v>2644</v>
      </c>
      <c r="H138" s="677" t="s">
        <v>2644</v>
      </c>
      <c r="I138" s="677" t="s">
        <v>2644</v>
      </c>
    </row>
    <row r="139" spans="3:9" ht="52.15" customHeight="1">
      <c r="C139" s="3631"/>
      <c r="D139" s="3631"/>
      <c r="E139" s="676" t="s">
        <v>2645</v>
      </c>
      <c r="F139" s="679">
        <v>0.8</v>
      </c>
      <c r="G139" s="679">
        <v>0.82</v>
      </c>
      <c r="H139" s="679">
        <v>0.84</v>
      </c>
      <c r="I139" s="679">
        <v>0.86</v>
      </c>
    </row>
    <row r="140" spans="3:9" ht="89.45" customHeight="1">
      <c r="C140" s="3631"/>
      <c r="D140" s="3631"/>
      <c r="E140" s="680" t="s">
        <v>3654</v>
      </c>
      <c r="F140" s="679">
        <v>0.15</v>
      </c>
      <c r="G140" s="679">
        <v>0.16</v>
      </c>
      <c r="H140" s="679">
        <v>0.17</v>
      </c>
      <c r="I140" s="679">
        <v>0.18</v>
      </c>
    </row>
    <row r="141" spans="3:9" ht="82.5" customHeight="1">
      <c r="C141" s="3631"/>
      <c r="D141" s="3631"/>
      <c r="E141" s="106" t="s">
        <v>2646</v>
      </c>
      <c r="F141" s="675" t="s">
        <v>2647</v>
      </c>
      <c r="G141" s="56" t="s">
        <v>116</v>
      </c>
      <c r="H141" s="56" t="s">
        <v>116</v>
      </c>
      <c r="I141" s="56" t="s">
        <v>116</v>
      </c>
    </row>
    <row r="142" spans="3:9" ht="41.45" customHeight="1">
      <c r="C142" s="3631"/>
      <c r="D142" s="3631"/>
      <c r="E142" s="3626" t="s">
        <v>2655</v>
      </c>
      <c r="F142" s="678" t="s">
        <v>2644</v>
      </c>
      <c r="G142" s="685" t="s">
        <v>2644</v>
      </c>
      <c r="H142" s="685" t="s">
        <v>2644</v>
      </c>
      <c r="I142" s="685" t="s">
        <v>2644</v>
      </c>
    </row>
    <row r="143" spans="3:9" ht="57.6" customHeight="1">
      <c r="C143" s="3631"/>
      <c r="D143" s="3631"/>
      <c r="E143" s="3633"/>
      <c r="F143" s="679" t="s">
        <v>2653</v>
      </c>
      <c r="G143" s="679" t="s">
        <v>3653</v>
      </c>
      <c r="H143" s="679"/>
      <c r="I143" s="679"/>
    </row>
    <row r="144" spans="3:9" ht="49.9" customHeight="1">
      <c r="C144" s="3631"/>
      <c r="D144" s="3631"/>
      <c r="E144" s="3634" t="s">
        <v>2648</v>
      </c>
      <c r="F144" s="677" t="s">
        <v>2649</v>
      </c>
      <c r="G144" s="677" t="s">
        <v>2650</v>
      </c>
      <c r="H144" s="677" t="s">
        <v>2650</v>
      </c>
      <c r="I144" s="677" t="s">
        <v>2650</v>
      </c>
    </row>
    <row r="145" spans="3:9" ht="66" customHeight="1">
      <c r="C145" s="3631"/>
      <c r="D145" s="3631"/>
      <c r="E145" s="3635"/>
      <c r="F145" s="677" t="s">
        <v>2651</v>
      </c>
      <c r="G145" s="677" t="s">
        <v>2651</v>
      </c>
      <c r="H145" s="677" t="s">
        <v>2651</v>
      </c>
      <c r="I145" s="677" t="s">
        <v>2651</v>
      </c>
    </row>
    <row r="146" spans="3:9" ht="45" customHeight="1">
      <c r="C146" s="3631"/>
      <c r="D146" s="3631"/>
      <c r="E146" s="3633"/>
      <c r="F146" s="677" t="s">
        <v>2652</v>
      </c>
      <c r="G146" s="677" t="s">
        <v>2652</v>
      </c>
      <c r="H146" s="677" t="s">
        <v>2652</v>
      </c>
      <c r="I146" s="677" t="s">
        <v>2652</v>
      </c>
    </row>
    <row r="147" spans="3:9" ht="45" customHeight="1">
      <c r="C147" s="3631"/>
      <c r="D147" s="3631"/>
      <c r="E147" s="3634" t="s">
        <v>2654</v>
      </c>
      <c r="F147" s="677" t="s">
        <v>2649</v>
      </c>
      <c r="G147" s="677" t="s">
        <v>2649</v>
      </c>
      <c r="H147" s="677" t="s">
        <v>2649</v>
      </c>
      <c r="I147" s="677" t="s">
        <v>2649</v>
      </c>
    </row>
    <row r="148" spans="3:9" ht="62.45" customHeight="1">
      <c r="C148" s="3631"/>
      <c r="D148" s="3631"/>
      <c r="E148" s="3635"/>
      <c r="F148" s="677" t="s">
        <v>2651</v>
      </c>
      <c r="G148" s="677" t="s">
        <v>2651</v>
      </c>
      <c r="H148" s="677" t="s">
        <v>2651</v>
      </c>
      <c r="I148" s="677" t="s">
        <v>2651</v>
      </c>
    </row>
    <row r="149" spans="3:9" ht="45" customHeight="1">
      <c r="C149" s="3632"/>
      <c r="D149" s="3632"/>
      <c r="E149" s="3633"/>
      <c r="F149" s="677" t="s">
        <v>2652</v>
      </c>
      <c r="G149" s="677" t="s">
        <v>2652</v>
      </c>
      <c r="H149" s="677" t="s">
        <v>2652</v>
      </c>
      <c r="I149" s="677" t="s">
        <v>2652</v>
      </c>
    </row>
    <row r="150" spans="3:9" ht="25.5" customHeight="1">
      <c r="C150" s="3624"/>
      <c r="D150" s="3624"/>
      <c r="E150" s="3624"/>
      <c r="F150" s="3640"/>
      <c r="G150" s="3640"/>
      <c r="H150" s="3640"/>
      <c r="I150" s="656"/>
    </row>
    <row r="151" spans="3:9" ht="34.9" customHeight="1">
      <c r="C151" s="3630">
        <v>11</v>
      </c>
      <c r="D151" s="3630" t="s">
        <v>2901</v>
      </c>
      <c r="E151" s="3618" t="s">
        <v>4087</v>
      </c>
      <c r="F151" s="3618"/>
      <c r="G151" s="3618" t="s">
        <v>4088</v>
      </c>
      <c r="H151" s="3618" t="s">
        <v>4088</v>
      </c>
      <c r="I151" s="3618" t="s">
        <v>4088</v>
      </c>
    </row>
    <row r="152" spans="3:9" ht="30.75" customHeight="1">
      <c r="C152" s="3631"/>
      <c r="D152" s="3631"/>
      <c r="E152" s="3618"/>
      <c r="F152" s="3618"/>
      <c r="G152" s="3618"/>
      <c r="H152" s="3618"/>
      <c r="I152" s="3618"/>
    </row>
    <row r="153" spans="3:9" ht="34.9" customHeight="1">
      <c r="C153" s="3631"/>
      <c r="D153" s="3631"/>
      <c r="E153" s="672" t="s">
        <v>4089</v>
      </c>
      <c r="F153" s="672"/>
      <c r="G153" s="672">
        <v>70</v>
      </c>
      <c r="H153" s="672">
        <v>75</v>
      </c>
      <c r="I153" s="672">
        <v>80</v>
      </c>
    </row>
    <row r="154" spans="3:9" ht="45.75" customHeight="1">
      <c r="C154" s="3631"/>
      <c r="D154" s="3631"/>
      <c r="E154" s="672" t="s">
        <v>4090</v>
      </c>
      <c r="F154" s="672"/>
      <c r="G154" s="672">
        <v>60</v>
      </c>
      <c r="H154" s="672">
        <v>65</v>
      </c>
      <c r="I154" s="672">
        <v>70</v>
      </c>
    </row>
    <row r="155" spans="3:9" ht="51" customHeight="1">
      <c r="C155" s="3631"/>
      <c r="D155" s="3631"/>
      <c r="E155" s="672" t="s">
        <v>4091</v>
      </c>
      <c r="F155" s="672"/>
      <c r="G155" s="672">
        <v>20</v>
      </c>
      <c r="H155" s="672">
        <v>25</v>
      </c>
      <c r="I155" s="672">
        <v>30</v>
      </c>
    </row>
    <row r="156" spans="3:9" ht="34.9" customHeight="1">
      <c r="C156" s="3631"/>
      <c r="D156" s="3631"/>
      <c r="E156" s="3647" t="s">
        <v>4092</v>
      </c>
      <c r="F156" s="3618"/>
      <c r="G156" s="3618">
        <v>70</v>
      </c>
      <c r="H156" s="3618">
        <v>80</v>
      </c>
      <c r="I156" s="3618">
        <v>90</v>
      </c>
    </row>
    <row r="157" spans="3:9" ht="34.9" customHeight="1">
      <c r="C157" s="3631"/>
      <c r="D157" s="3631"/>
      <c r="E157" s="3647"/>
      <c r="F157" s="3618"/>
      <c r="G157" s="3618"/>
      <c r="H157" s="3618"/>
      <c r="I157" s="3618"/>
    </row>
    <row r="158" spans="3:9" ht="34.9" customHeight="1">
      <c r="C158" s="3631"/>
      <c r="D158" s="3631"/>
      <c r="E158" s="672" t="s">
        <v>4093</v>
      </c>
      <c r="F158" s="672"/>
      <c r="G158" s="672">
        <v>90</v>
      </c>
      <c r="H158" s="672">
        <v>95</v>
      </c>
      <c r="I158" s="672">
        <v>95</v>
      </c>
    </row>
    <row r="159" spans="3:9" ht="47.25" customHeight="1">
      <c r="C159" s="3631"/>
      <c r="D159" s="3631"/>
      <c r="E159" s="672" t="s">
        <v>4094</v>
      </c>
      <c r="F159" s="672"/>
      <c r="G159" s="672" t="s">
        <v>4095</v>
      </c>
      <c r="H159" s="672" t="s">
        <v>4097</v>
      </c>
      <c r="I159" s="672" t="s">
        <v>4096</v>
      </c>
    </row>
    <row r="160" spans="3:9" ht="34.9" customHeight="1">
      <c r="C160" s="3631"/>
      <c r="D160" s="3631"/>
      <c r="E160" s="672" t="s">
        <v>4098</v>
      </c>
      <c r="F160" s="672"/>
      <c r="G160" s="672">
        <v>40</v>
      </c>
      <c r="H160" s="672">
        <v>50</v>
      </c>
      <c r="I160" s="672">
        <v>60</v>
      </c>
    </row>
    <row r="161" spans="3:9" ht="43.5" customHeight="1">
      <c r="C161" s="3631"/>
      <c r="D161" s="3631"/>
      <c r="E161" s="672" t="s">
        <v>4099</v>
      </c>
      <c r="F161" s="672"/>
      <c r="G161" s="672">
        <v>80</v>
      </c>
      <c r="H161" s="672">
        <v>85</v>
      </c>
      <c r="I161" s="672">
        <v>90</v>
      </c>
    </row>
    <row r="162" spans="3:9" ht="34.9" customHeight="1">
      <c r="C162" s="3631"/>
      <c r="D162" s="3631"/>
      <c r="E162" s="672" t="s">
        <v>4100</v>
      </c>
      <c r="F162" s="672"/>
      <c r="G162" s="672">
        <v>100</v>
      </c>
      <c r="H162" s="672">
        <v>200</v>
      </c>
      <c r="I162" s="672">
        <v>300</v>
      </c>
    </row>
    <row r="163" spans="3:9" ht="78.75" customHeight="1">
      <c r="C163" s="3631"/>
      <c r="D163" s="3631"/>
      <c r="E163" s="672" t="s">
        <v>4101</v>
      </c>
      <c r="F163" s="672"/>
      <c r="G163" s="672" t="s">
        <v>4102</v>
      </c>
      <c r="H163" s="672" t="s">
        <v>4102</v>
      </c>
      <c r="I163" s="672" t="s">
        <v>4102</v>
      </c>
    </row>
    <row r="164" spans="3:9" ht="34.9" customHeight="1">
      <c r="C164" s="3631"/>
      <c r="D164" s="3631"/>
      <c r="E164" s="672" t="s">
        <v>4103</v>
      </c>
      <c r="F164" s="672"/>
      <c r="G164" s="672">
        <v>100</v>
      </c>
      <c r="H164" s="672">
        <v>100</v>
      </c>
      <c r="I164" s="672">
        <v>100</v>
      </c>
    </row>
    <row r="165" spans="3:9" ht="50.25" customHeight="1">
      <c r="C165" s="3631"/>
      <c r="D165" s="3631"/>
      <c r="E165" s="672" t="s">
        <v>4104</v>
      </c>
      <c r="F165" s="672"/>
      <c r="G165" s="672">
        <v>70</v>
      </c>
      <c r="H165" s="672">
        <v>75</v>
      </c>
      <c r="I165" s="672">
        <v>80</v>
      </c>
    </row>
    <row r="166" spans="3:9" ht="34.9" customHeight="1">
      <c r="C166" s="3631"/>
      <c r="D166" s="3631"/>
      <c r="E166" s="672" t="s">
        <v>4105</v>
      </c>
      <c r="F166" s="672"/>
      <c r="G166" s="672">
        <v>20</v>
      </c>
      <c r="H166" s="672">
        <v>25</v>
      </c>
      <c r="I166" s="672">
        <v>30</v>
      </c>
    </row>
    <row r="167" spans="3:9" ht="34.9" customHeight="1">
      <c r="C167" s="3631"/>
      <c r="D167" s="3631"/>
      <c r="E167" s="672" t="s">
        <v>4106</v>
      </c>
      <c r="F167" s="672"/>
      <c r="G167" s="672">
        <v>8</v>
      </c>
      <c r="H167" s="672">
        <v>10</v>
      </c>
      <c r="I167" s="672">
        <v>12</v>
      </c>
    </row>
    <row r="168" spans="3:9" ht="34.9" customHeight="1">
      <c r="C168" s="3631"/>
      <c r="D168" s="3631"/>
      <c r="E168" s="672" t="s">
        <v>4107</v>
      </c>
      <c r="F168" s="672"/>
      <c r="G168" s="672" t="s">
        <v>586</v>
      </c>
      <c r="H168" s="672" t="s">
        <v>586</v>
      </c>
      <c r="I168" s="672" t="s">
        <v>586</v>
      </c>
    </row>
    <row r="169" spans="3:9" ht="34.9" customHeight="1">
      <c r="C169" s="3632"/>
      <c r="D169" s="3632"/>
      <c r="E169" s="672" t="s">
        <v>4108</v>
      </c>
      <c r="F169" s="672"/>
      <c r="G169" s="672">
        <v>2</v>
      </c>
      <c r="H169" s="672">
        <v>2</v>
      </c>
      <c r="I169" s="672">
        <v>2</v>
      </c>
    </row>
    <row r="170" spans="3:9" ht="34.9" customHeight="1">
      <c r="C170" s="3638" t="s">
        <v>1732</v>
      </c>
      <c r="D170" s="3638"/>
      <c r="E170" s="3639"/>
      <c r="F170" s="3639"/>
      <c r="G170" s="3639"/>
      <c r="H170" s="3639"/>
      <c r="I170" s="654"/>
    </row>
    <row r="171" spans="3:9" ht="34.9" customHeight="1">
      <c r="C171" s="3623">
        <v>1</v>
      </c>
      <c r="D171" s="3623" t="s">
        <v>2902</v>
      </c>
      <c r="E171" s="672" t="s">
        <v>781</v>
      </c>
      <c r="F171" s="106">
        <v>0.80700000000000005</v>
      </c>
      <c r="G171" s="106">
        <v>0</v>
      </c>
      <c r="H171" s="106">
        <v>0</v>
      </c>
      <c r="I171" s="106">
        <v>0.80700000000000005</v>
      </c>
    </row>
    <row r="172" spans="3:9" ht="34.9" customHeight="1">
      <c r="C172" s="3623"/>
      <c r="D172" s="3623"/>
      <c r="E172" s="672" t="s">
        <v>2442</v>
      </c>
      <c r="F172" s="106">
        <v>1</v>
      </c>
      <c r="G172" s="106"/>
      <c r="H172" s="106">
        <v>1</v>
      </c>
      <c r="I172" s="106"/>
    </row>
    <row r="173" spans="3:9" ht="34.9" customHeight="1">
      <c r="C173" s="3623"/>
      <c r="D173" s="3623"/>
      <c r="E173" s="672" t="s">
        <v>2443</v>
      </c>
      <c r="F173" s="106">
        <v>1</v>
      </c>
      <c r="G173" s="106"/>
      <c r="H173" s="106"/>
      <c r="I173" s="106">
        <v>1</v>
      </c>
    </row>
    <row r="174" spans="3:9" ht="34.9" hidden="1" customHeight="1">
      <c r="C174" s="3623"/>
      <c r="D174" s="3623"/>
      <c r="E174" s="658" t="s">
        <v>782</v>
      </c>
      <c r="F174" s="657"/>
      <c r="G174" s="657"/>
      <c r="H174" s="657"/>
      <c r="I174" s="657"/>
    </row>
    <row r="175" spans="3:9" ht="34.9" hidden="1" customHeight="1">
      <c r="C175" s="3623"/>
      <c r="D175" s="3623"/>
      <c r="E175" s="658" t="s">
        <v>2444</v>
      </c>
      <c r="F175" s="657"/>
      <c r="G175" s="657"/>
      <c r="H175" s="657"/>
      <c r="I175" s="657"/>
    </row>
    <row r="176" spans="3:9" ht="34.9" customHeight="1">
      <c r="C176" s="3623"/>
      <c r="D176" s="3623"/>
      <c r="E176" s="672" t="s">
        <v>783</v>
      </c>
      <c r="F176" s="106">
        <v>1.2949999999999999</v>
      </c>
      <c r="G176" s="106"/>
      <c r="H176" s="106">
        <v>1.3220000000000001</v>
      </c>
      <c r="I176" s="106">
        <v>0.873</v>
      </c>
    </row>
    <row r="177" spans="3:9" ht="48.6" customHeight="1">
      <c r="C177" s="3623"/>
      <c r="D177" s="3623"/>
      <c r="E177" s="672" t="s">
        <v>2445</v>
      </c>
      <c r="F177" s="106"/>
      <c r="G177" s="106"/>
      <c r="H177" s="673">
        <v>2.8</v>
      </c>
      <c r="I177" s="106"/>
    </row>
    <row r="178" spans="3:9" ht="48.6" customHeight="1">
      <c r="C178" s="3623"/>
      <c r="D178" s="3623"/>
      <c r="E178" s="672" t="s">
        <v>3647</v>
      </c>
      <c r="F178" s="106"/>
      <c r="G178" s="106"/>
      <c r="H178" s="673">
        <v>1</v>
      </c>
      <c r="I178" s="106"/>
    </row>
    <row r="179" spans="3:9" ht="45.75" customHeight="1">
      <c r="C179" s="3623"/>
      <c r="D179" s="3623"/>
      <c r="E179" s="672" t="s">
        <v>3648</v>
      </c>
      <c r="F179" s="106"/>
      <c r="G179" s="106">
        <v>1</v>
      </c>
      <c r="H179" s="657"/>
      <c r="I179" s="657"/>
    </row>
    <row r="180" spans="3:9" ht="34.9" customHeight="1">
      <c r="C180" s="3623"/>
      <c r="D180" s="3623"/>
      <c r="E180" s="672" t="s">
        <v>3649</v>
      </c>
      <c r="F180" s="106">
        <v>1</v>
      </c>
      <c r="G180" s="106">
        <v>1</v>
      </c>
      <c r="H180" s="657"/>
      <c r="I180" s="657"/>
    </row>
    <row r="181" spans="3:9" ht="34.9" customHeight="1">
      <c r="C181" s="3623"/>
      <c r="D181" s="3623"/>
      <c r="E181" s="672" t="s">
        <v>2446</v>
      </c>
      <c r="F181" s="106"/>
      <c r="G181" s="106"/>
      <c r="H181" s="106">
        <v>1</v>
      </c>
      <c r="I181" s="657"/>
    </row>
    <row r="182" spans="3:9" ht="34.9" customHeight="1">
      <c r="C182" s="3623"/>
      <c r="D182" s="3623"/>
      <c r="E182" s="672" t="s">
        <v>785</v>
      </c>
      <c r="F182" s="106">
        <v>1</v>
      </c>
      <c r="G182" s="106">
        <v>0.316</v>
      </c>
      <c r="H182" s="106"/>
      <c r="I182" s="106"/>
    </row>
    <row r="183" spans="3:9" ht="48" customHeight="1">
      <c r="C183" s="3623"/>
      <c r="D183" s="3623"/>
      <c r="E183" s="672" t="s">
        <v>2447</v>
      </c>
      <c r="F183" s="106"/>
      <c r="G183" s="106"/>
      <c r="H183" s="673">
        <v>3.27</v>
      </c>
      <c r="I183" s="106"/>
    </row>
    <row r="184" spans="3:9" ht="34.9" customHeight="1">
      <c r="C184" s="3623"/>
      <c r="D184" s="3623"/>
      <c r="E184" s="672" t="s">
        <v>784</v>
      </c>
      <c r="F184" s="106">
        <v>1</v>
      </c>
      <c r="G184" s="106">
        <v>1</v>
      </c>
      <c r="H184" s="106">
        <v>1</v>
      </c>
      <c r="I184" s="106">
        <v>1</v>
      </c>
    </row>
    <row r="185" spans="3:9" ht="34.9" customHeight="1">
      <c r="C185" s="3623"/>
      <c r="D185" s="3623"/>
      <c r="E185" s="672" t="s">
        <v>786</v>
      </c>
      <c r="F185" s="106">
        <v>1</v>
      </c>
      <c r="G185" s="106">
        <v>1</v>
      </c>
      <c r="H185" s="106"/>
      <c r="I185" s="106"/>
    </row>
    <row r="186" spans="3:9" ht="45.75" customHeight="1">
      <c r="C186" s="3623"/>
      <c r="D186" s="3623"/>
      <c r="E186" s="672" t="s">
        <v>787</v>
      </c>
      <c r="F186" s="106">
        <v>7</v>
      </c>
      <c r="G186" s="106">
        <v>7</v>
      </c>
      <c r="H186" s="106">
        <v>7</v>
      </c>
      <c r="I186" s="106">
        <v>7</v>
      </c>
    </row>
    <row r="187" spans="3:9" ht="34.9" customHeight="1">
      <c r="C187" s="3623"/>
      <c r="D187" s="3623"/>
      <c r="E187" s="672" t="s">
        <v>788</v>
      </c>
      <c r="F187" s="106">
        <v>70</v>
      </c>
      <c r="G187" s="106">
        <v>70</v>
      </c>
      <c r="H187" s="106">
        <v>70</v>
      </c>
      <c r="I187" s="106">
        <v>70</v>
      </c>
    </row>
    <row r="188" spans="3:9" ht="28.5" customHeight="1">
      <c r="C188" s="108"/>
      <c r="D188" s="243"/>
      <c r="E188" s="108"/>
      <c r="F188" s="243"/>
      <c r="G188" s="243"/>
      <c r="H188" s="243"/>
      <c r="I188" s="243"/>
    </row>
    <row r="189" spans="3:9" ht="42" customHeight="1">
      <c r="C189" s="3630">
        <v>2</v>
      </c>
      <c r="D189" s="3630" t="s">
        <v>2903</v>
      </c>
      <c r="E189" s="722" t="s">
        <v>2517</v>
      </c>
      <c r="F189" s="106">
        <v>188</v>
      </c>
      <c r="G189" s="106">
        <v>185</v>
      </c>
      <c r="H189" s="106">
        <v>184</v>
      </c>
      <c r="I189" s="106">
        <v>183</v>
      </c>
    </row>
    <row r="190" spans="3:9" ht="34.9" customHeight="1">
      <c r="C190" s="3631"/>
      <c r="D190" s="3631"/>
      <c r="E190" s="722" t="s">
        <v>2518</v>
      </c>
      <c r="F190" s="106">
        <v>64</v>
      </c>
      <c r="G190" s="106">
        <v>63</v>
      </c>
      <c r="H190" s="106">
        <v>64</v>
      </c>
      <c r="I190" s="106">
        <v>64</v>
      </c>
    </row>
    <row r="191" spans="3:9" ht="51" customHeight="1">
      <c r="C191" s="3631"/>
      <c r="D191" s="3631"/>
      <c r="E191" s="722" t="s">
        <v>2519</v>
      </c>
      <c r="F191" s="106">
        <v>5</v>
      </c>
      <c r="G191" s="106">
        <v>2</v>
      </c>
      <c r="H191" s="106">
        <v>3</v>
      </c>
      <c r="I191" s="106">
        <v>2</v>
      </c>
    </row>
    <row r="192" spans="3:9" ht="44.25" customHeight="1">
      <c r="C192" s="3631"/>
      <c r="D192" s="3631"/>
      <c r="E192" s="722" t="s">
        <v>2521</v>
      </c>
      <c r="F192" s="56">
        <v>4578</v>
      </c>
      <c r="G192" s="56">
        <v>4516</v>
      </c>
      <c r="H192" s="56">
        <v>4464</v>
      </c>
      <c r="I192" s="56">
        <v>4437</v>
      </c>
    </row>
    <row r="193" spans="3:9" ht="46.5" customHeight="1">
      <c r="C193" s="3631"/>
      <c r="D193" s="3631"/>
      <c r="E193" s="722" t="s">
        <v>2522</v>
      </c>
      <c r="F193" s="56">
        <v>530</v>
      </c>
      <c r="G193" s="56">
        <v>650</v>
      </c>
      <c r="H193" s="56">
        <v>661</v>
      </c>
      <c r="I193" s="56">
        <v>670</v>
      </c>
    </row>
    <row r="194" spans="3:9" ht="34.9" customHeight="1">
      <c r="C194" s="3632"/>
      <c r="D194" s="3632"/>
      <c r="E194" s="722" t="s">
        <v>2520</v>
      </c>
      <c r="F194" s="56">
        <v>384</v>
      </c>
      <c r="G194" s="56">
        <v>200</v>
      </c>
      <c r="H194" s="56">
        <v>220</v>
      </c>
      <c r="I194" s="56">
        <v>230</v>
      </c>
    </row>
    <row r="195" spans="3:9" ht="27.75" customHeight="1">
      <c r="C195" s="109"/>
      <c r="D195" s="243"/>
      <c r="E195" s="129"/>
      <c r="F195" s="244"/>
      <c r="G195" s="244"/>
      <c r="H195" s="244"/>
      <c r="I195" s="244"/>
    </row>
  </sheetData>
  <sheetProtection algorithmName="SHA-512" hashValue="e/5dt9JSVOJwEXZLH/5PWvl1FYBoJCp/rnkBEOgcIYYZyrouT4zpvPDIY8559kN/zKftMAQ5q3ZCxrmVEsqM8w==" saltValue="nBQOKayesHRD6s7xukM/ow==" spinCount="100000" sheet="1" objects="1" scenarios="1"/>
  <mergeCells count="80">
    <mergeCell ref="C2:H2"/>
    <mergeCell ref="G156:G157"/>
    <mergeCell ref="H156:H157"/>
    <mergeCell ref="C189:C194"/>
    <mergeCell ref="D189:D194"/>
    <mergeCell ref="E151:E152"/>
    <mergeCell ref="F151:F152"/>
    <mergeCell ref="G151:G152"/>
    <mergeCell ref="C171:C187"/>
    <mergeCell ref="D171:D187"/>
    <mergeCell ref="C103:C113"/>
    <mergeCell ref="C151:C169"/>
    <mergeCell ref="D151:D169"/>
    <mergeCell ref="C102:H102"/>
    <mergeCell ref="F119:F120"/>
    <mergeCell ref="G119:G120"/>
    <mergeCell ref="H119:H120"/>
    <mergeCell ref="E122:E123"/>
    <mergeCell ref="F122:F123"/>
    <mergeCell ref="G122:G123"/>
    <mergeCell ref="H122:H123"/>
    <mergeCell ref="F134:H134"/>
    <mergeCell ref="H151:H152"/>
    <mergeCell ref="E156:E157"/>
    <mergeCell ref="F156:F157"/>
    <mergeCell ref="F135:H135"/>
    <mergeCell ref="F136:H136"/>
    <mergeCell ref="E133:E136"/>
    <mergeCell ref="E147:E149"/>
    <mergeCell ref="C35:H35"/>
    <mergeCell ref="C47:H47"/>
    <mergeCell ref="C69:H69"/>
    <mergeCell ref="C83:H83"/>
    <mergeCell ref="C92:H92"/>
    <mergeCell ref="C36:C46"/>
    <mergeCell ref="D36:D46"/>
    <mergeCell ref="C48:C57"/>
    <mergeCell ref="D48:D57"/>
    <mergeCell ref="C70:C82"/>
    <mergeCell ref="D70:D82"/>
    <mergeCell ref="D84:D91"/>
    <mergeCell ref="F6:H6"/>
    <mergeCell ref="C10:C21"/>
    <mergeCell ref="D10:D21"/>
    <mergeCell ref="C23:C34"/>
    <mergeCell ref="D23:D34"/>
    <mergeCell ref="C9:H9"/>
    <mergeCell ref="C22:H22"/>
    <mergeCell ref="C170:H170"/>
    <mergeCell ref="C150:H150"/>
    <mergeCell ref="C84:C91"/>
    <mergeCell ref="F117:F118"/>
    <mergeCell ref="E117:E118"/>
    <mergeCell ref="H117:H118"/>
    <mergeCell ref="G117:G118"/>
    <mergeCell ref="D103:D113"/>
    <mergeCell ref="C114:H114"/>
    <mergeCell ref="E115:E116"/>
    <mergeCell ref="F115:F116"/>
    <mergeCell ref="G115:G116"/>
    <mergeCell ref="H115:H116"/>
    <mergeCell ref="C93:C101"/>
    <mergeCell ref="D93:D101"/>
    <mergeCell ref="F133:H133"/>
    <mergeCell ref="I156:I157"/>
    <mergeCell ref="F3:I3"/>
    <mergeCell ref="C59:C68"/>
    <mergeCell ref="D59:D68"/>
    <mergeCell ref="C58:H58"/>
    <mergeCell ref="I115:I116"/>
    <mergeCell ref="I117:I118"/>
    <mergeCell ref="I119:I120"/>
    <mergeCell ref="I122:I123"/>
    <mergeCell ref="I151:I152"/>
    <mergeCell ref="D115:D149"/>
    <mergeCell ref="C115:C149"/>
    <mergeCell ref="E142:E143"/>
    <mergeCell ref="E144:E146"/>
    <mergeCell ref="E131:E132"/>
    <mergeCell ref="E119:E120"/>
  </mergeCells>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6EE88-1F19-4930-9D6F-4602E0F69714}">
  <dimension ref="A2:Z61"/>
  <sheetViews>
    <sheetView zoomScale="96" zoomScaleNormal="96" zoomScaleSheetLayoutView="98" workbookViewId="0">
      <selection activeCell="J24" sqref="J24"/>
    </sheetView>
  </sheetViews>
  <sheetFormatPr defaultColWidth="8.85546875" defaultRowHeight="12.75"/>
  <cols>
    <col min="1" max="1" width="8.85546875" style="101"/>
    <col min="2" max="2" width="7" style="101" customWidth="1"/>
    <col min="3" max="3" width="43" style="101" customWidth="1"/>
    <col min="4" max="4" width="22.7109375" style="101" customWidth="1"/>
    <col min="5" max="5" width="39" style="101" customWidth="1"/>
    <col min="6" max="7" width="11.28515625" style="103" customWidth="1"/>
    <col min="8" max="8" width="20.140625" style="101" customWidth="1"/>
    <col min="9" max="9" width="30.7109375" style="101" customWidth="1"/>
    <col min="10" max="10" width="42.28515625" style="101" customWidth="1"/>
    <col min="11" max="16384" width="8.85546875" style="101"/>
  </cols>
  <sheetData>
    <row r="2" spans="1:26" ht="25.9" customHeight="1">
      <c r="B2" s="3656" t="s">
        <v>1643</v>
      </c>
      <c r="C2" s="3656"/>
      <c r="D2" s="3656"/>
      <c r="E2" s="3656"/>
      <c r="F2" s="3656"/>
      <c r="G2" s="3656"/>
      <c r="H2" s="3656"/>
    </row>
    <row r="3" spans="1:26" ht="38.25">
      <c r="B3" s="93" t="s">
        <v>720</v>
      </c>
      <c r="C3" s="93" t="s">
        <v>795</v>
      </c>
      <c r="D3" s="93" t="s">
        <v>796</v>
      </c>
      <c r="E3" s="93" t="s">
        <v>502</v>
      </c>
      <c r="F3" s="94" t="s">
        <v>2573</v>
      </c>
      <c r="G3" s="94" t="s">
        <v>2574</v>
      </c>
      <c r="H3" s="93" t="s">
        <v>221</v>
      </c>
    </row>
    <row r="4" spans="1:26" s="102" customFormat="1" ht="40.9" customHeight="1">
      <c r="A4" s="101"/>
      <c r="B4" s="92" t="s">
        <v>736</v>
      </c>
      <c r="C4" s="92" t="s">
        <v>1641</v>
      </c>
      <c r="D4" s="97" t="s">
        <v>4109</v>
      </c>
      <c r="E4" s="92" t="s">
        <v>797</v>
      </c>
      <c r="F4" s="95">
        <v>15</v>
      </c>
      <c r="G4" s="95" t="s">
        <v>471</v>
      </c>
      <c r="H4" s="92" t="s">
        <v>1642</v>
      </c>
      <c r="I4" s="101"/>
      <c r="J4" s="101"/>
      <c r="K4" s="101"/>
      <c r="L4" s="101"/>
      <c r="M4" s="101"/>
      <c r="N4" s="101"/>
      <c r="O4" s="101"/>
      <c r="P4" s="101"/>
      <c r="Q4" s="101"/>
      <c r="R4" s="101"/>
      <c r="S4" s="101"/>
      <c r="T4" s="101"/>
      <c r="U4" s="101"/>
      <c r="V4" s="101"/>
      <c r="W4" s="101"/>
      <c r="X4" s="101"/>
      <c r="Y4" s="101"/>
      <c r="Z4" s="101"/>
    </row>
    <row r="5" spans="1:26" s="102" customFormat="1" ht="85.9" customHeight="1">
      <c r="A5" s="101"/>
      <c r="B5" s="92" t="s">
        <v>789</v>
      </c>
      <c r="C5" s="92" t="s">
        <v>1644</v>
      </c>
      <c r="D5" s="97" t="s">
        <v>1654</v>
      </c>
      <c r="E5" s="92" t="s">
        <v>1645</v>
      </c>
      <c r="F5" s="95">
        <v>58</v>
      </c>
      <c r="G5" s="95" t="s">
        <v>2575</v>
      </c>
      <c r="H5" s="92" t="s">
        <v>798</v>
      </c>
      <c r="I5" s="101"/>
      <c r="J5" s="101"/>
      <c r="K5" s="101"/>
      <c r="L5" s="101"/>
      <c r="M5" s="101"/>
      <c r="N5" s="101"/>
      <c r="O5" s="101"/>
      <c r="P5" s="101"/>
      <c r="Q5" s="101"/>
      <c r="R5" s="101"/>
      <c r="S5" s="101"/>
      <c r="T5" s="101"/>
      <c r="U5" s="101"/>
      <c r="V5" s="101"/>
      <c r="W5" s="101"/>
      <c r="X5" s="101"/>
      <c r="Y5" s="101"/>
      <c r="Z5" s="101"/>
    </row>
    <row r="6" spans="1:26" ht="44.45" hidden="1" customHeight="1">
      <c r="B6" s="92" t="s">
        <v>790</v>
      </c>
      <c r="C6" s="92" t="s">
        <v>799</v>
      </c>
      <c r="D6" s="92" t="s">
        <v>800</v>
      </c>
      <c r="E6" s="92" t="s">
        <v>801</v>
      </c>
      <c r="F6" s="96">
        <v>0</v>
      </c>
      <c r="G6" s="96"/>
      <c r="H6" s="92" t="s">
        <v>802</v>
      </c>
    </row>
    <row r="7" spans="1:26">
      <c r="B7" s="3654" t="s">
        <v>4116</v>
      </c>
      <c r="C7" s="3654" t="s">
        <v>4117</v>
      </c>
      <c r="D7" s="3654" t="s">
        <v>4110</v>
      </c>
      <c r="E7" s="3654" t="s">
        <v>801</v>
      </c>
      <c r="F7" s="3655">
        <v>0</v>
      </c>
      <c r="G7" s="3651"/>
      <c r="H7" s="3654" t="s">
        <v>804</v>
      </c>
    </row>
    <row r="8" spans="1:26">
      <c r="B8" s="3654"/>
      <c r="C8" s="3654"/>
      <c r="D8" s="3654"/>
      <c r="E8" s="3654"/>
      <c r="F8" s="3655"/>
      <c r="G8" s="3652"/>
      <c r="H8" s="3654"/>
    </row>
    <row r="9" spans="1:26">
      <c r="B9" s="3654"/>
      <c r="C9" s="3654"/>
      <c r="D9" s="3654"/>
      <c r="E9" s="3654"/>
      <c r="F9" s="3655"/>
      <c r="G9" s="3652"/>
      <c r="H9" s="3654"/>
    </row>
    <row r="10" spans="1:26">
      <c r="B10" s="3654"/>
      <c r="C10" s="3654"/>
      <c r="D10" s="3654"/>
      <c r="E10" s="3654"/>
      <c r="F10" s="3655"/>
      <c r="G10" s="3652"/>
      <c r="H10" s="3654"/>
    </row>
    <row r="11" spans="1:26">
      <c r="B11" s="3654"/>
      <c r="C11" s="3654"/>
      <c r="D11" s="3654"/>
      <c r="E11" s="3654"/>
      <c r="F11" s="3655"/>
      <c r="G11" s="3652"/>
      <c r="H11" s="3654"/>
    </row>
    <row r="12" spans="1:26" ht="49.5" customHeight="1">
      <c r="B12" s="3654"/>
      <c r="C12" s="3654"/>
      <c r="D12" s="3654"/>
      <c r="E12" s="3654"/>
      <c r="F12" s="3655"/>
      <c r="G12" s="3653"/>
      <c r="H12" s="3654"/>
    </row>
    <row r="13" spans="1:26" hidden="1">
      <c r="B13" s="3654" t="s">
        <v>791</v>
      </c>
      <c r="C13" s="3654" t="s">
        <v>805</v>
      </c>
      <c r="D13" s="3654" t="s">
        <v>1646</v>
      </c>
      <c r="E13" s="3654" t="s">
        <v>806</v>
      </c>
      <c r="F13" s="3655">
        <v>0</v>
      </c>
      <c r="G13" s="3651"/>
      <c r="H13" s="3654" t="s">
        <v>1651</v>
      </c>
    </row>
    <row r="14" spans="1:26" ht="42.6" hidden="1" customHeight="1">
      <c r="B14" s="3654"/>
      <c r="C14" s="3654"/>
      <c r="D14" s="3654"/>
      <c r="E14" s="3654"/>
      <c r="F14" s="3655"/>
      <c r="G14" s="3653"/>
      <c r="H14" s="3654"/>
    </row>
    <row r="15" spans="1:26" hidden="1">
      <c r="B15" s="3654" t="s">
        <v>792</v>
      </c>
      <c r="C15" s="3654" t="s">
        <v>1652</v>
      </c>
      <c r="D15" s="3654" t="s">
        <v>807</v>
      </c>
      <c r="E15" s="3654" t="s">
        <v>808</v>
      </c>
      <c r="F15" s="3655">
        <v>0</v>
      </c>
      <c r="G15" s="3651"/>
      <c r="H15" s="3654" t="s">
        <v>1653</v>
      </c>
    </row>
    <row r="16" spans="1:26" hidden="1">
      <c r="B16" s="3654"/>
      <c r="C16" s="3654"/>
      <c r="D16" s="3654"/>
      <c r="E16" s="3654"/>
      <c r="F16" s="3655"/>
      <c r="G16" s="3652"/>
      <c r="H16" s="3654"/>
    </row>
    <row r="17" spans="2:9" ht="36.6" hidden="1" customHeight="1">
      <c r="B17" s="3654"/>
      <c r="C17" s="3654"/>
      <c r="D17" s="3654"/>
      <c r="E17" s="3654"/>
      <c r="F17" s="3655"/>
      <c r="G17" s="3653"/>
      <c r="H17" s="3654"/>
    </row>
    <row r="18" spans="2:9" ht="38.25" hidden="1">
      <c r="B18" s="92" t="s">
        <v>793</v>
      </c>
      <c r="C18" s="92" t="s">
        <v>809</v>
      </c>
      <c r="D18" s="92" t="s">
        <v>1647</v>
      </c>
      <c r="E18" s="92" t="s">
        <v>1650</v>
      </c>
      <c r="F18" s="96">
        <v>0</v>
      </c>
      <c r="G18" s="96"/>
      <c r="H18" s="92" t="s">
        <v>810</v>
      </c>
    </row>
    <row r="19" spans="2:9" ht="76.5" hidden="1">
      <c r="B19" s="92" t="s">
        <v>794</v>
      </c>
      <c r="C19" s="92" t="s">
        <v>811</v>
      </c>
      <c r="D19" s="92" t="s">
        <v>1648</v>
      </c>
      <c r="E19" s="92" t="s">
        <v>812</v>
      </c>
      <c r="F19" s="96">
        <v>0</v>
      </c>
      <c r="G19" s="96"/>
      <c r="H19" s="92" t="s">
        <v>1649</v>
      </c>
    </row>
    <row r="20" spans="2:9">
      <c r="B20" s="3654" t="s">
        <v>803</v>
      </c>
      <c r="C20" s="3654" t="s">
        <v>4118</v>
      </c>
      <c r="D20" s="3654" t="s">
        <v>4110</v>
      </c>
      <c r="E20" s="3654" t="s">
        <v>801</v>
      </c>
      <c r="F20" s="3655">
        <v>0</v>
      </c>
      <c r="G20" s="3651"/>
      <c r="H20" s="3654" t="s">
        <v>4119</v>
      </c>
    </row>
    <row r="21" spans="2:9">
      <c r="B21" s="3654"/>
      <c r="C21" s="3654"/>
      <c r="D21" s="3654"/>
      <c r="E21" s="3654"/>
      <c r="F21" s="3655"/>
      <c r="G21" s="3652"/>
      <c r="H21" s="3654"/>
    </row>
    <row r="22" spans="2:9">
      <c r="B22" s="3654"/>
      <c r="C22" s="3654"/>
      <c r="D22" s="3654"/>
      <c r="E22" s="3654"/>
      <c r="F22" s="3655"/>
      <c r="G22" s="3652"/>
      <c r="H22" s="3654"/>
    </row>
    <row r="23" spans="2:9">
      <c r="B23" s="3654"/>
      <c r="C23" s="3654"/>
      <c r="D23" s="3654"/>
      <c r="E23" s="3654"/>
      <c r="F23" s="3655"/>
      <c r="G23" s="3652"/>
      <c r="H23" s="3654"/>
    </row>
    <row r="24" spans="2:9">
      <c r="B24" s="3654"/>
      <c r="C24" s="3654"/>
      <c r="D24" s="3654"/>
      <c r="E24" s="3654"/>
      <c r="F24" s="3655"/>
      <c r="G24" s="3652"/>
      <c r="H24" s="3654"/>
    </row>
    <row r="25" spans="2:9" ht="49.5" customHeight="1">
      <c r="B25" s="3654"/>
      <c r="C25" s="3654"/>
      <c r="D25" s="3654"/>
      <c r="E25" s="3654"/>
      <c r="F25" s="3655"/>
      <c r="G25" s="3653"/>
      <c r="H25" s="3654"/>
    </row>
    <row r="27" spans="2:9">
      <c r="D27" s="294"/>
      <c r="E27" s="294"/>
    </row>
    <row r="28" spans="2:9" ht="29.45" customHeight="1">
      <c r="C28" s="159"/>
      <c r="D28" s="159"/>
      <c r="E28" s="159"/>
      <c r="F28" s="159"/>
      <c r="G28" s="159"/>
      <c r="H28" s="159"/>
    </row>
    <row r="30" spans="2:9" ht="15.75">
      <c r="B30" s="138"/>
      <c r="C30" s="138"/>
      <c r="D30" s="144"/>
      <c r="E30" s="144"/>
      <c r="F30" s="144"/>
      <c r="G30" s="144"/>
      <c r="H30" s="139"/>
      <c r="I30" s="132"/>
    </row>
    <row r="31" spans="2:9" ht="13.15" customHeight="1">
      <c r="B31" s="144"/>
      <c r="C31" s="144"/>
      <c r="D31" s="144"/>
      <c r="E31" s="144"/>
      <c r="F31" s="144"/>
      <c r="G31" s="144"/>
      <c r="H31" s="144"/>
      <c r="I31" s="132"/>
    </row>
    <row r="32" spans="2:9" ht="45" customHeight="1">
      <c r="B32" s="140"/>
      <c r="C32" s="141"/>
      <c r="D32" s="142"/>
      <c r="E32" s="142"/>
      <c r="F32" s="141"/>
      <c r="G32" s="141"/>
      <c r="H32" s="139"/>
      <c r="I32" s="132"/>
    </row>
    <row r="33" spans="2:9" ht="15.75">
      <c r="B33" s="140"/>
      <c r="C33" s="141"/>
      <c r="D33" s="142"/>
      <c r="E33" s="142"/>
      <c r="F33" s="141"/>
      <c r="G33" s="141"/>
      <c r="H33" s="139"/>
      <c r="I33" s="132"/>
    </row>
    <row r="34" spans="2:9" ht="13.15" customHeight="1">
      <c r="B34" s="141"/>
      <c r="C34" s="141"/>
      <c r="D34" s="142"/>
      <c r="E34" s="142"/>
      <c r="F34" s="141"/>
      <c r="G34" s="141"/>
      <c r="H34" s="139"/>
      <c r="I34" s="132"/>
    </row>
    <row r="35" spans="2:9" ht="22.9" customHeight="1">
      <c r="B35" s="140"/>
      <c r="C35" s="141"/>
      <c r="D35" s="142"/>
      <c r="E35" s="142"/>
      <c r="F35" s="141"/>
      <c r="G35" s="141"/>
      <c r="H35" s="139"/>
      <c r="I35" s="132"/>
    </row>
    <row r="36" spans="2:9" ht="45" customHeight="1">
      <c r="B36" s="141"/>
      <c r="C36" s="141"/>
      <c r="D36" s="142"/>
      <c r="E36" s="142"/>
      <c r="F36" s="141"/>
      <c r="G36" s="141"/>
      <c r="H36" s="139"/>
      <c r="I36" s="132"/>
    </row>
    <row r="37" spans="2:9" ht="13.15" hidden="1" customHeight="1">
      <c r="B37" s="141"/>
      <c r="C37" s="141"/>
      <c r="D37" s="142"/>
      <c r="E37" s="142"/>
      <c r="F37" s="141"/>
      <c r="G37" s="141"/>
      <c r="H37" s="139"/>
      <c r="I37" s="132"/>
    </row>
    <row r="38" spans="2:9" ht="15.75">
      <c r="B38" s="141"/>
      <c r="C38" s="141"/>
      <c r="D38" s="142"/>
      <c r="E38" s="142"/>
      <c r="F38" s="141"/>
      <c r="G38" s="141"/>
      <c r="H38" s="139"/>
      <c r="I38" s="132"/>
    </row>
    <row r="39" spans="2:9" ht="15.75">
      <c r="B39" s="140"/>
      <c r="C39" s="141"/>
      <c r="D39" s="142"/>
      <c r="E39" s="142"/>
      <c r="F39" s="141"/>
      <c r="G39" s="141"/>
      <c r="H39" s="139"/>
      <c r="I39" s="132"/>
    </row>
    <row r="40" spans="2:9" ht="37.9" customHeight="1">
      <c r="B40" s="144"/>
      <c r="C40" s="144"/>
      <c r="D40" s="144"/>
      <c r="E40" s="144"/>
      <c r="F40" s="144"/>
      <c r="G40" s="144"/>
      <c r="H40" s="144"/>
      <c r="I40" s="132"/>
    </row>
    <row r="41" spans="2:9" ht="15.75">
      <c r="B41" s="141"/>
      <c r="C41" s="141"/>
      <c r="D41" s="142"/>
      <c r="E41" s="142"/>
      <c r="F41" s="141"/>
      <c r="G41" s="141"/>
      <c r="H41" s="139"/>
      <c r="I41" s="132"/>
    </row>
    <row r="42" spans="2:9" ht="23.45" customHeight="1">
      <c r="B42" s="141"/>
      <c r="C42" s="141"/>
      <c r="D42" s="142"/>
      <c r="E42" s="142"/>
      <c r="F42" s="141"/>
      <c r="G42" s="141"/>
      <c r="H42" s="139"/>
      <c r="I42" s="132"/>
    </row>
    <row r="43" spans="2:9" ht="15.75">
      <c r="B43" s="141"/>
      <c r="C43" s="141"/>
      <c r="D43" s="142"/>
      <c r="E43" s="142"/>
      <c r="F43" s="141"/>
      <c r="G43" s="141"/>
      <c r="H43" s="139"/>
      <c r="I43" s="132"/>
    </row>
    <row r="44" spans="2:9" ht="15">
      <c r="B44" s="145"/>
      <c r="C44" s="145"/>
      <c r="D44" s="145"/>
      <c r="E44" s="145"/>
      <c r="F44" s="145"/>
      <c r="G44" s="145"/>
      <c r="H44" s="145"/>
      <c r="I44" s="132"/>
    </row>
    <row r="45" spans="2:9" ht="13.15" customHeight="1">
      <c r="B45" s="141"/>
      <c r="C45" s="141"/>
      <c r="D45" s="142"/>
      <c r="E45" s="142"/>
      <c r="F45" s="141"/>
      <c r="G45" s="141"/>
      <c r="H45" s="139"/>
      <c r="I45" s="132"/>
    </row>
    <row r="46" spans="2:9" ht="20.45" customHeight="1">
      <c r="B46" s="141"/>
      <c r="C46" s="141"/>
      <c r="D46" s="142"/>
      <c r="E46" s="142"/>
      <c r="F46" s="141"/>
      <c r="G46" s="141"/>
      <c r="H46" s="139"/>
      <c r="I46" s="132"/>
    </row>
    <row r="47" spans="2:9" ht="15.75">
      <c r="B47" s="141"/>
      <c r="C47" s="141"/>
      <c r="D47" s="142"/>
      <c r="E47" s="142"/>
      <c r="F47" s="141"/>
      <c r="G47" s="141"/>
      <c r="H47" s="139"/>
      <c r="I47" s="132"/>
    </row>
    <row r="48" spans="2:9" ht="15.75">
      <c r="B48" s="141"/>
      <c r="C48" s="141"/>
      <c r="D48" s="142"/>
      <c r="E48" s="142"/>
      <c r="F48" s="141"/>
      <c r="G48" s="141"/>
      <c r="H48" s="139"/>
      <c r="I48" s="132"/>
    </row>
    <row r="49" spans="2:9" ht="15.75">
      <c r="B49" s="141"/>
      <c r="C49" s="141"/>
      <c r="D49" s="142"/>
      <c r="E49" s="143"/>
      <c r="F49" s="141"/>
      <c r="G49" s="141"/>
      <c r="H49" s="139"/>
      <c r="I49" s="132"/>
    </row>
    <row r="50" spans="2:9" ht="32.450000000000003" customHeight="1">
      <c r="B50" s="141"/>
      <c r="C50" s="141"/>
      <c r="D50" s="142"/>
      <c r="E50" s="142"/>
      <c r="F50" s="141"/>
      <c r="G50" s="141"/>
      <c r="H50" s="139"/>
      <c r="I50" s="132"/>
    </row>
    <row r="51" spans="2:9" ht="15.75">
      <c r="B51" s="141"/>
      <c r="C51" s="141"/>
      <c r="D51" s="142"/>
      <c r="E51" s="142"/>
      <c r="F51" s="141"/>
      <c r="G51" s="141"/>
      <c r="H51" s="139"/>
      <c r="I51" s="132"/>
    </row>
    <row r="52" spans="2:9" ht="31.9" customHeight="1">
      <c r="B52" s="141"/>
      <c r="C52" s="141"/>
      <c r="D52" s="142"/>
      <c r="E52" s="142"/>
      <c r="F52" s="141"/>
      <c r="G52" s="141"/>
      <c r="H52" s="139"/>
      <c r="I52" s="132"/>
    </row>
    <row r="53" spans="2:9" ht="13.15" customHeight="1">
      <c r="B53" s="141"/>
      <c r="C53" s="141"/>
      <c r="D53" s="142"/>
      <c r="E53" s="142"/>
      <c r="F53" s="141"/>
      <c r="G53" s="141"/>
      <c r="H53" s="139"/>
      <c r="I53" s="132"/>
    </row>
    <row r="54" spans="2:9" ht="15.75">
      <c r="B54" s="141"/>
      <c r="C54" s="141"/>
      <c r="D54" s="142"/>
      <c r="E54" s="143"/>
      <c r="F54" s="141"/>
      <c r="G54" s="141"/>
      <c r="H54" s="139"/>
      <c r="I54" s="132"/>
    </row>
    <row r="55" spans="2:9" ht="15">
      <c r="B55" s="144"/>
      <c r="C55" s="144"/>
      <c r="D55" s="144"/>
      <c r="E55" s="144"/>
      <c r="F55" s="144"/>
      <c r="G55" s="144"/>
      <c r="H55" s="144"/>
      <c r="I55" s="132"/>
    </row>
    <row r="56" spans="2:9">
      <c r="B56" s="133"/>
      <c r="C56" s="133"/>
      <c r="D56" s="133"/>
      <c r="E56" s="133"/>
      <c r="F56" s="133"/>
      <c r="G56" s="133"/>
      <c r="H56" s="133"/>
    </row>
    <row r="57" spans="2:9" ht="13.15" customHeight="1">
      <c r="B57" s="137"/>
      <c r="C57" s="137"/>
      <c r="D57" s="135"/>
      <c r="E57" s="135"/>
      <c r="F57" s="135"/>
      <c r="G57" s="135"/>
      <c r="H57" s="136"/>
    </row>
    <row r="58" spans="2:9">
      <c r="B58" s="137"/>
      <c r="C58" s="137"/>
      <c r="D58" s="135"/>
      <c r="E58" s="135"/>
      <c r="F58" s="135"/>
      <c r="G58" s="135"/>
      <c r="H58" s="134"/>
    </row>
    <row r="59" spans="2:9" ht="13.15" customHeight="1">
      <c r="B59" s="137"/>
      <c r="C59" s="137"/>
      <c r="D59" s="135"/>
      <c r="E59" s="135"/>
      <c r="F59" s="135"/>
      <c r="G59" s="135"/>
      <c r="H59" s="134"/>
    </row>
    <row r="60" spans="2:9" ht="13.15" customHeight="1">
      <c r="B60" s="137"/>
      <c r="C60" s="137"/>
      <c r="D60" s="135"/>
      <c r="E60" s="135"/>
      <c r="F60" s="135"/>
      <c r="G60" s="135"/>
      <c r="H60" s="134"/>
    </row>
    <row r="61" spans="2:9" ht="13.15" customHeight="1">
      <c r="B61" s="137"/>
      <c r="C61" s="137"/>
      <c r="D61" s="135"/>
      <c r="E61" s="135"/>
      <c r="F61" s="135"/>
      <c r="G61" s="135"/>
      <c r="H61" s="134"/>
    </row>
  </sheetData>
  <sheetProtection algorithmName="SHA-512" hashValue="J+lVfLXGSgh0kFGRmKaI2s5RUFdgI9la9hl7K3IkQW9WNTQ35lAG8wuSpAWKMog5P7sW9KHE0/OhNd/d5hTTcQ==" saltValue="tO7VX/+PEpBUMU8lspfEKw==" spinCount="100000" sheet="1" objects="1" scenarios="1"/>
  <mergeCells count="29">
    <mergeCell ref="H13:H14"/>
    <mergeCell ref="B2:H2"/>
    <mergeCell ref="E7:E12"/>
    <mergeCell ref="B15:B17"/>
    <mergeCell ref="C15:C17"/>
    <mergeCell ref="D15:D17"/>
    <mergeCell ref="E15:E17"/>
    <mergeCell ref="F15:F17"/>
    <mergeCell ref="H15:H17"/>
    <mergeCell ref="B7:B12"/>
    <mergeCell ref="C7:C12"/>
    <mergeCell ref="D7:D12"/>
    <mergeCell ref="F7:F12"/>
    <mergeCell ref="H7:H12"/>
    <mergeCell ref="B13:B14"/>
    <mergeCell ref="G7:G12"/>
    <mergeCell ref="G13:G14"/>
    <mergeCell ref="G15:G17"/>
    <mergeCell ref="C13:C14"/>
    <mergeCell ref="D13:D14"/>
    <mergeCell ref="E13:E14"/>
    <mergeCell ref="F13:F14"/>
    <mergeCell ref="G20:G25"/>
    <mergeCell ref="H20:H25"/>
    <mergeCell ref="B20:B25"/>
    <mergeCell ref="C20:C25"/>
    <mergeCell ref="D20:D25"/>
    <mergeCell ref="E20:E25"/>
    <mergeCell ref="F20:F25"/>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7D869-E02F-43FB-B40C-B7D7D73FEAB4}">
  <sheetPr>
    <pageSetUpPr fitToPage="1"/>
  </sheetPr>
  <dimension ref="A2:BI71"/>
  <sheetViews>
    <sheetView topLeftCell="A6" zoomScale="96" zoomScaleNormal="96" workbookViewId="0">
      <selection activeCell="BC49" sqref="BC49"/>
    </sheetView>
  </sheetViews>
  <sheetFormatPr defaultRowHeight="12.75"/>
  <cols>
    <col min="1" max="1" width="20.28515625" customWidth="1"/>
    <col min="2" max="2" width="12.7109375" customWidth="1"/>
    <col min="3" max="3" width="10.7109375" customWidth="1"/>
    <col min="4" max="4" width="12.140625" customWidth="1"/>
    <col min="5" max="5" width="15.7109375" customWidth="1"/>
    <col min="6" max="6" width="11.85546875" customWidth="1"/>
    <col min="7" max="7" width="10.5703125" customWidth="1"/>
    <col min="8" max="8" width="12.28515625" customWidth="1"/>
    <col min="9" max="9" width="7.85546875" customWidth="1"/>
    <col min="10" max="10" width="12.42578125" customWidth="1"/>
    <col min="11" max="11" width="10.7109375" customWidth="1"/>
    <col min="12" max="12" width="11.28515625" customWidth="1"/>
    <col min="13" max="13" width="7.42578125" customWidth="1"/>
    <col min="14" max="15" width="9.42578125" customWidth="1"/>
    <col min="16" max="16" width="17.28515625" customWidth="1"/>
    <col min="17" max="17" width="5" customWidth="1"/>
    <col min="18" max="18" width="9.42578125" customWidth="1"/>
    <col min="19" max="19" width="12.42578125" customWidth="1"/>
    <col min="20" max="20" width="9.42578125" customWidth="1"/>
    <col min="21" max="21" width="6.5703125" customWidth="1"/>
    <col min="22" max="23" width="11.5703125" customWidth="1"/>
    <col min="24" max="24" width="11.28515625" customWidth="1"/>
    <col min="25" max="25" width="6.28515625" customWidth="1"/>
    <col min="26" max="26" width="9.5703125" customWidth="1"/>
    <col min="27" max="27" width="8.85546875" customWidth="1"/>
    <col min="28" max="28" width="9.140625" customWidth="1"/>
    <col min="29" max="30" width="11.28515625" customWidth="1"/>
    <col min="31" max="31" width="7" customWidth="1"/>
    <col min="32" max="34" width="11.28515625" customWidth="1"/>
    <col min="35" max="35" width="8.85546875" customWidth="1"/>
    <col min="36" max="36" width="7.85546875" customWidth="1"/>
    <col min="37" max="37" width="8.5703125" customWidth="1"/>
    <col min="38" max="38" width="8" customWidth="1"/>
    <col min="39" max="39" width="8.140625" customWidth="1"/>
    <col min="40" max="40" width="5.5703125" customWidth="1"/>
    <col min="41" max="41" width="10.85546875" customWidth="1"/>
    <col min="42" max="42" width="9.85546875" customWidth="1"/>
    <col min="43" max="43" width="10.85546875" customWidth="1"/>
    <col min="44" max="44" width="5.28515625" customWidth="1"/>
    <col min="45" max="45" width="9" customWidth="1"/>
    <col min="46" max="46" width="9.7109375" customWidth="1"/>
    <col min="47" max="47" width="8.5703125" customWidth="1"/>
    <col min="48" max="48" width="6.5703125" customWidth="1"/>
    <col min="49" max="49" width="12.140625" customWidth="1"/>
    <col min="50" max="50" width="10.5703125" customWidth="1"/>
    <col min="51" max="51" width="11.85546875" customWidth="1"/>
    <col min="52" max="52" width="14.140625" customWidth="1"/>
    <col min="53" max="53" width="11.28515625" customWidth="1"/>
    <col min="57" max="57" width="10.5703125" customWidth="1"/>
    <col min="58" max="58" width="10.7109375" customWidth="1"/>
    <col min="59" max="59" width="11.42578125" customWidth="1"/>
    <col min="61" max="61" width="11.5703125" customWidth="1"/>
  </cols>
  <sheetData>
    <row r="2" spans="1:61">
      <c r="F2" s="2259" t="s">
        <v>3694</v>
      </c>
      <c r="G2" s="2259"/>
      <c r="H2" s="2259"/>
      <c r="I2" s="2259"/>
      <c r="J2" s="2259"/>
      <c r="K2" s="2259"/>
      <c r="L2" s="2259"/>
      <c r="M2" s="2259"/>
      <c r="N2" s="2259"/>
      <c r="O2" s="2259"/>
      <c r="P2" s="2259"/>
      <c r="Q2" s="2259"/>
      <c r="R2" s="2259"/>
      <c r="S2" s="2259"/>
      <c r="T2" s="2259"/>
      <c r="U2" s="2259"/>
      <c r="V2" s="2259"/>
      <c r="W2" s="723"/>
      <c r="X2" s="723"/>
      <c r="Y2" s="723"/>
    </row>
    <row r="5" spans="1:61" ht="20.25" customHeight="1">
      <c r="B5" s="3661" t="s">
        <v>3875</v>
      </c>
      <c r="C5" s="3661"/>
      <c r="D5" s="3661"/>
      <c r="E5" s="844"/>
      <c r="F5" s="3662" t="s">
        <v>3912</v>
      </c>
      <c r="G5" s="3663"/>
      <c r="H5" s="3663"/>
      <c r="I5" s="867"/>
      <c r="J5" s="3664" t="s">
        <v>3996</v>
      </c>
      <c r="K5" s="3664"/>
      <c r="L5" s="3664"/>
      <c r="M5" s="844"/>
      <c r="N5" s="3665" t="s">
        <v>3879</v>
      </c>
      <c r="O5" s="3665"/>
      <c r="P5" s="3665"/>
      <c r="Q5" s="873"/>
      <c r="R5" s="3658" t="s">
        <v>3882</v>
      </c>
      <c r="S5" s="3659"/>
      <c r="T5" s="3660"/>
      <c r="U5" s="876"/>
      <c r="V5" s="3666" t="s">
        <v>3803</v>
      </c>
      <c r="W5" s="3667"/>
      <c r="X5" s="3667"/>
      <c r="Y5" s="873"/>
      <c r="Z5" s="3673" t="s">
        <v>3880</v>
      </c>
      <c r="AA5" s="3674"/>
      <c r="AB5" s="3674"/>
      <c r="AC5" s="3674"/>
      <c r="AD5" s="3675"/>
      <c r="AE5" s="877"/>
      <c r="AF5" s="3676" t="s">
        <v>3881</v>
      </c>
      <c r="AG5" s="3677"/>
      <c r="AH5" s="3678"/>
      <c r="AI5" s="878"/>
      <c r="AJ5" s="3668" t="s">
        <v>3883</v>
      </c>
      <c r="AK5" s="3668"/>
      <c r="AL5" s="3668"/>
      <c r="AM5" s="3668"/>
      <c r="AN5" s="879"/>
      <c r="AO5" s="3669" t="s">
        <v>4022</v>
      </c>
      <c r="AP5" s="3670"/>
      <c r="AQ5" s="3670"/>
      <c r="AR5" s="881"/>
      <c r="AS5" s="3671" t="s">
        <v>3884</v>
      </c>
      <c r="AT5" s="3671"/>
      <c r="AU5" s="3671"/>
      <c r="AV5" s="833"/>
      <c r="AW5" s="3672" t="s">
        <v>3864</v>
      </c>
      <c r="AX5" s="3672"/>
      <c r="AY5" s="3672"/>
      <c r="BE5" s="3657" t="s">
        <v>4026</v>
      </c>
      <c r="BF5" s="3657"/>
      <c r="BG5" s="3657"/>
    </row>
    <row r="6" spans="1:61" ht="39" customHeight="1">
      <c r="A6" s="766"/>
      <c r="B6" s="768" t="s">
        <v>3876</v>
      </c>
      <c r="C6" s="768" t="s">
        <v>3877</v>
      </c>
      <c r="D6" s="768" t="s">
        <v>3878</v>
      </c>
      <c r="E6" s="845"/>
      <c r="F6" s="769" t="s">
        <v>3913</v>
      </c>
      <c r="G6" s="769" t="s">
        <v>3914</v>
      </c>
      <c r="H6" s="769" t="s">
        <v>3915</v>
      </c>
      <c r="I6" s="845"/>
      <c r="J6" s="770">
        <v>2025</v>
      </c>
      <c r="K6" s="770">
        <v>2026</v>
      </c>
      <c r="L6" s="770">
        <v>2027</v>
      </c>
      <c r="M6" s="871"/>
      <c r="N6" s="772">
        <v>2025</v>
      </c>
      <c r="O6" s="772">
        <v>2026</v>
      </c>
      <c r="P6" s="772">
        <v>2027</v>
      </c>
      <c r="Q6" s="871"/>
      <c r="R6" s="778">
        <v>2025</v>
      </c>
      <c r="S6" s="778">
        <v>2026</v>
      </c>
      <c r="T6" s="778">
        <v>2027</v>
      </c>
      <c r="U6" s="871"/>
      <c r="V6" s="774">
        <v>2025</v>
      </c>
      <c r="W6" s="774">
        <v>2026</v>
      </c>
      <c r="X6" s="774">
        <v>2027</v>
      </c>
      <c r="Y6" s="871"/>
      <c r="Z6" s="775">
        <v>2025</v>
      </c>
      <c r="AA6" s="775">
        <v>2026</v>
      </c>
      <c r="AB6" s="775">
        <v>2027</v>
      </c>
      <c r="AC6" s="767" t="s">
        <v>3846</v>
      </c>
      <c r="AD6" s="767" t="s">
        <v>3855</v>
      </c>
      <c r="AE6" s="845"/>
      <c r="AF6" s="777">
        <v>2025</v>
      </c>
      <c r="AG6" s="777">
        <v>2026</v>
      </c>
      <c r="AH6" s="777">
        <v>2027</v>
      </c>
      <c r="AI6" s="871"/>
      <c r="AJ6" s="781">
        <v>2025</v>
      </c>
      <c r="AK6" s="781">
        <v>2026</v>
      </c>
      <c r="AL6" s="781">
        <v>2027</v>
      </c>
      <c r="AM6" s="818" t="s">
        <v>3916</v>
      </c>
      <c r="AN6" s="845"/>
      <c r="AO6" s="785">
        <v>2025</v>
      </c>
      <c r="AP6" s="785">
        <v>2026</v>
      </c>
      <c r="AQ6" s="785">
        <v>2027</v>
      </c>
      <c r="AR6" s="871"/>
      <c r="AS6" s="766">
        <v>2025</v>
      </c>
      <c r="AT6" s="766">
        <v>2026</v>
      </c>
      <c r="AU6" s="766">
        <v>2027</v>
      </c>
      <c r="AV6" s="871"/>
      <c r="AW6" s="786">
        <v>2025</v>
      </c>
      <c r="AX6" s="786">
        <v>2026</v>
      </c>
      <c r="AY6" s="786">
        <v>2027</v>
      </c>
      <c r="BE6" s="162">
        <v>2025</v>
      </c>
      <c r="BF6" s="162">
        <v>2026</v>
      </c>
      <c r="BG6" s="162">
        <v>2027</v>
      </c>
    </row>
    <row r="7" spans="1:61" ht="24" customHeight="1">
      <c r="A7" s="162" t="s">
        <v>3971</v>
      </c>
      <c r="B7" s="841">
        <f>SUM('1 programa '!K30,'1 programa '!K90,'1 programa '!K96,'1 programa '!K113,'1 programa '!K115,'1 programa '!K118,'1 programa '!K120,'1 programa '!K123,'1 programa '!K126,'1 programa '!K129,'1 programa '!K132,'1 programa '!K148,'1 programa '!K160,'1 programa '!K163,'1 programa '!K174,'1 programa '!K180,'1 programa '!K188,'1 programa '!K192,'1 programa '!K195,'1 programa '!K121,'1 programa '!K124,)</f>
        <v>1798.6000000000001</v>
      </c>
      <c r="C7" s="841">
        <f>SUM('1 programa '!L30,'1 programa '!L90,'1 programa '!L96,'1 programa '!L113,'1 programa '!L115,'1 programa '!L118,'1 programa '!L120,'1 programa '!L123,'1 programa '!L126,'1 programa '!L129,'1 programa '!L132,'1 programa '!L148,'1 programa '!L160,'1 programa '!L163,'1 programa '!L174,'1 programa '!L180,'1 programa '!L188,'1 programa '!L192,'1 programa '!L195)</f>
        <v>1581.66</v>
      </c>
      <c r="D7" s="841">
        <f>SUM('1 programa '!M30,'1 programa '!M90,'1 programa '!M96,'1 programa '!M113,'1 programa '!M115,'1 programa '!M118,'1 programa '!M120,'1 programa '!M123,'1 programa '!M126,'1 programa '!M129,'1 programa '!M132,'1 programa '!M148,'1 programa '!M160,'1 programa '!M163,'1 programa '!M174,'1 programa '!M180,'1 programa '!M188,'1 programa '!M192,'1 programa '!M195)</f>
        <v>1593.94</v>
      </c>
      <c r="E7" s="721"/>
      <c r="F7" s="849">
        <f>SUM('1 programa '!K156)</f>
        <v>32.445999999999998</v>
      </c>
      <c r="G7" s="849">
        <f>SUM('1 programa '!L156)</f>
        <v>0</v>
      </c>
      <c r="H7" s="849">
        <f>SUM('1 programa '!M156)</f>
        <v>0</v>
      </c>
      <c r="I7" s="721"/>
      <c r="J7" s="771"/>
      <c r="K7" s="771"/>
      <c r="L7" s="771"/>
      <c r="M7" s="162"/>
      <c r="N7" s="773">
        <f>SUM('1 programa '!K92,'1 programa '!K62)</f>
        <v>24.818999999999999</v>
      </c>
      <c r="O7" s="773">
        <f>SUM('1 programa '!L92,'1 programa '!L62)</f>
        <v>24.818999999999999</v>
      </c>
      <c r="P7" s="773">
        <f>SUM('1 programa '!M92,'1 programa '!M62)</f>
        <v>24.818999999999999</v>
      </c>
      <c r="Q7" s="162"/>
      <c r="R7" s="860">
        <f>SUM('1 programa '!K37,'1 programa '!K45,'1 programa '!K48,'1 programa '!K51,'1 programa '!K53,'1 programa '!K55,'1 programa '!K57,'1 programa '!K59,'1 programa '!K65,'1 programa '!K67,'1 programa '!K70,'1 programa '!K72,'1 programa '!K74,'1 programa '!K77,'1 programa '!K80,'1 programa '!K82,'1 programa '!K85,'1 programa '!K87,'1 programa '!K89,)</f>
        <v>247.48500000000001</v>
      </c>
      <c r="S7" s="860">
        <f>SUM('1 programa '!L37,'1 programa '!L45,'1 programa '!L48,'1 programa '!L51,'1 programa '!L53,'1 programa '!L55,'1 programa '!L57,'1 programa '!L59,'1 programa '!L65,'1 programa '!L67,'1 programa '!L70,'1 programa '!L72,'1 programa '!L74,'1 programa '!L77,'1 programa '!L80,'1 programa '!L82,'1 programa '!L85,'1 programa '!L87,'1 programa '!L89,)</f>
        <v>247.48500000000001</v>
      </c>
      <c r="T7" s="860">
        <f>SUM('1 programa '!M37,'1 programa '!M45,'1 programa '!M48,'1 programa '!M51,'1 programa '!M53,'1 programa '!M55,'1 programa '!M57,'1 programa '!M59,'1 programa '!M65,'1 programa '!M67,'1 programa '!M70,'1 programa '!M72,'1 programa '!M74,'1 programa '!M77,'1 programa '!M80,'1 programa '!M82,'1 programa '!M85,'1 programa '!M87,'1 programa '!M89,)</f>
        <v>247.48500000000001</v>
      </c>
      <c r="U7" s="802"/>
      <c r="V7" s="888">
        <f>SUM('1 programa '!K19,'1 programa '!K32,'1 programa '!K38,'1 programa '!K46,'1 programa '!K49,'1 programa '!K68,'1 programa '!K83,)</f>
        <v>3986.88</v>
      </c>
      <c r="W7" s="888">
        <f>SUM('1 programa '!L19,'1 programa '!L32,'1 programa '!L38,'1 programa '!L46,'1 programa '!L49,'1 programa '!L68,'1 programa '!L83,)</f>
        <v>3999.2099999999996</v>
      </c>
      <c r="X7" s="888">
        <f>SUM('1 programa '!M19,'1 programa '!M32,'1 programa '!M38,'1 programa '!M46,'1 programa '!M49,'1 programa '!M68,'1 programa '!M83,)</f>
        <v>4185.619999999999</v>
      </c>
      <c r="Y7" s="795"/>
      <c r="Z7" s="823">
        <f>SUM('1 programa '!K20,'1 programa '!K97)</f>
        <v>17.649999999999999</v>
      </c>
      <c r="AA7" s="823">
        <f>SUM('1 programa '!L20,'1 programa '!L97)</f>
        <v>2</v>
      </c>
      <c r="AB7" s="823">
        <f>SUM('1 programa '!M20,'1 programa '!M97)</f>
        <v>2</v>
      </c>
      <c r="AC7" s="893">
        <f>'1 programa '!K21</f>
        <v>2.5640000000000001</v>
      </c>
      <c r="AD7" s="893">
        <f>Z7+AC7</f>
        <v>20.213999999999999</v>
      </c>
      <c r="AE7" s="795"/>
      <c r="AF7" s="793">
        <f>SUM('1 programa '!K153,'1 programa '!K154,)</f>
        <v>40.6</v>
      </c>
      <c r="AG7" s="793">
        <f>SUM('1 programa '!L153,'1 programa '!L154,)</f>
        <v>0</v>
      </c>
      <c r="AH7" s="793">
        <f>SUM('1 programa '!M153,'1 programa '!M154,)</f>
        <v>0</v>
      </c>
      <c r="AI7" s="795"/>
      <c r="AJ7" s="782"/>
      <c r="AK7" s="782"/>
      <c r="AL7" s="782"/>
      <c r="AM7" s="782"/>
      <c r="AN7" s="868"/>
      <c r="AO7" s="825">
        <f>SUM('1 programa '!K205)</f>
        <v>0</v>
      </c>
      <c r="AP7" s="825">
        <f>SUM('1 programa '!L205)</f>
        <v>0</v>
      </c>
      <c r="AQ7" s="825">
        <f>SUM('1 programa '!M205)</f>
        <v>0</v>
      </c>
      <c r="AR7" s="162"/>
      <c r="AS7" s="162"/>
      <c r="AT7" s="162"/>
      <c r="AU7" s="162"/>
      <c r="AV7" s="162"/>
      <c r="AW7" s="787">
        <f>SUM(B7,F7,J7,N7,R7,V7,Z7,AF7,)</f>
        <v>6148.48</v>
      </c>
      <c r="AX7" s="787">
        <f>SUM(C7,G7,K7,O7,S7,W7,AA7,AG7,)</f>
        <v>5855.1739999999991</v>
      </c>
      <c r="AY7" s="787">
        <f>SUM(D7,H7,L7,P7,T7,X7,AB7,AH7,)</f>
        <v>6053.8639999999996</v>
      </c>
      <c r="AZ7" s="150">
        <f>AW7-'1 programa '!K208</f>
        <v>-2.5640000000012151</v>
      </c>
      <c r="BA7" s="150">
        <f>AX7-'1 programa '!L208</f>
        <v>0</v>
      </c>
      <c r="BB7" s="150">
        <f>AY7-'1 programa '!M208</f>
        <v>0</v>
      </c>
      <c r="BC7" s="150"/>
      <c r="BD7">
        <v>1</v>
      </c>
      <c r="BE7" s="162">
        <f>SUM('1 programa '!K156)</f>
        <v>32.445999999999998</v>
      </c>
      <c r="BF7" s="162">
        <f>SUM('1 programa '!L156)</f>
        <v>0</v>
      </c>
      <c r="BG7" s="162">
        <f>SUM('1 programa '!M156)</f>
        <v>0</v>
      </c>
    </row>
    <row r="8" spans="1:61" ht="24" customHeight="1">
      <c r="A8" s="162" t="s">
        <v>3972</v>
      </c>
      <c r="B8" s="841">
        <v>1798.6</v>
      </c>
      <c r="C8" s="841">
        <v>1581.66</v>
      </c>
      <c r="D8" s="841">
        <v>1593.94</v>
      </c>
      <c r="E8" s="721"/>
      <c r="F8" s="849">
        <v>32.445999999999998</v>
      </c>
      <c r="G8" s="849">
        <v>0</v>
      </c>
      <c r="H8" s="849">
        <v>0</v>
      </c>
      <c r="I8" s="721"/>
      <c r="J8" s="771"/>
      <c r="K8" s="771"/>
      <c r="L8" s="771"/>
      <c r="M8" s="162"/>
      <c r="N8" s="773">
        <v>24.818999999999999</v>
      </c>
      <c r="O8" s="773"/>
      <c r="P8" s="773"/>
      <c r="Q8" s="162"/>
      <c r="R8" s="796"/>
      <c r="S8" s="796"/>
      <c r="T8" s="796"/>
      <c r="U8" s="794"/>
      <c r="V8" s="888"/>
      <c r="W8" s="888"/>
      <c r="X8" s="888"/>
      <c r="Y8" s="795"/>
      <c r="Z8" s="792"/>
      <c r="AA8" s="792"/>
      <c r="AB8" s="792"/>
      <c r="AC8" s="792"/>
      <c r="AD8" s="792"/>
      <c r="AE8" s="795"/>
      <c r="AF8" s="793"/>
      <c r="AG8" s="793"/>
      <c r="AH8" s="793"/>
      <c r="AI8" s="795"/>
      <c r="AJ8" s="782"/>
      <c r="AK8" s="782"/>
      <c r="AL8" s="782"/>
      <c r="AM8" s="782"/>
      <c r="AN8" s="868"/>
      <c r="AO8" s="825">
        <f>SUM('2 programa '!K278,'2 programa '!K309,)</f>
        <v>0</v>
      </c>
      <c r="AP8" s="825"/>
      <c r="AQ8" s="825"/>
      <c r="AR8" s="162"/>
      <c r="AS8" s="162"/>
      <c r="AT8" s="162"/>
      <c r="AU8" s="162"/>
      <c r="AV8" s="162"/>
      <c r="AW8" s="787"/>
      <c r="AX8" s="787"/>
      <c r="AY8" s="787"/>
      <c r="AZ8" s="150"/>
      <c r="BA8" s="150"/>
      <c r="BB8" s="150"/>
      <c r="BC8" s="150"/>
      <c r="BD8">
        <v>2</v>
      </c>
      <c r="BE8" s="913">
        <f>SUM('2 programa '!K202,'2 programa '!K247,'2 programa '!K271,'2 programa '!K275,'2 programa '!K285,'2 programa '!K308,)</f>
        <v>1492.4490000000001</v>
      </c>
      <c r="BF8" s="913">
        <f>SUM('2 programa '!L202,'2 programa '!L247,'2 programa '!L271,'2 programa '!L275,'2 programa '!L285,'2 programa '!L308,)</f>
        <v>0</v>
      </c>
      <c r="BG8" s="913">
        <f>SUM('2 programa '!M202,'2 programa '!M247,'2 programa '!M271,'2 programa '!M275,'2 programa '!M285,'2 programa '!M308,)</f>
        <v>0</v>
      </c>
      <c r="BH8" s="151">
        <v>1492.4490000000001</v>
      </c>
      <c r="BI8" s="151">
        <f>BH8-BE8</f>
        <v>0</v>
      </c>
    </row>
    <row r="9" spans="1:61" ht="24" customHeight="1">
      <c r="A9" s="835" t="s">
        <v>4021</v>
      </c>
      <c r="B9" s="840">
        <f>B7-B8</f>
        <v>0</v>
      </c>
      <c r="C9" s="840">
        <f>C7-C8</f>
        <v>0</v>
      </c>
      <c r="D9" s="840">
        <f>D7-D8</f>
        <v>0</v>
      </c>
      <c r="E9" s="721"/>
      <c r="F9" s="840">
        <f>F7-F8</f>
        <v>0</v>
      </c>
      <c r="G9" s="840">
        <f>G7-G8</f>
        <v>0</v>
      </c>
      <c r="H9" s="840">
        <f>H7-H8</f>
        <v>0</v>
      </c>
      <c r="I9" s="721"/>
      <c r="J9" s="771"/>
      <c r="K9" s="771"/>
      <c r="L9" s="771"/>
      <c r="M9" s="162"/>
      <c r="N9" s="773"/>
      <c r="O9" s="773"/>
      <c r="P9" s="773"/>
      <c r="Q9" s="162"/>
      <c r="R9" s="796"/>
      <c r="S9" s="796"/>
      <c r="T9" s="796"/>
      <c r="U9" s="794"/>
      <c r="V9" s="888"/>
      <c r="W9" s="888"/>
      <c r="X9" s="888"/>
      <c r="Y9" s="795"/>
      <c r="Z9" s="792"/>
      <c r="AA9" s="792"/>
      <c r="AB9" s="792"/>
      <c r="AC9" s="792"/>
      <c r="AD9" s="792"/>
      <c r="AE9" s="795"/>
      <c r="AF9" s="793"/>
      <c r="AG9" s="793"/>
      <c r="AH9" s="793"/>
      <c r="AI9" s="795"/>
      <c r="AJ9" s="782"/>
      <c r="AK9" s="782"/>
      <c r="AL9" s="782"/>
      <c r="AM9" s="782"/>
      <c r="AN9" s="868"/>
      <c r="AO9" s="825">
        <f>SUM('3 programa'!K51)</f>
        <v>0</v>
      </c>
      <c r="AP9" s="825"/>
      <c r="AQ9" s="825"/>
      <c r="AR9" s="162"/>
      <c r="AS9" s="162"/>
      <c r="AT9" s="162"/>
      <c r="AU9" s="162"/>
      <c r="AV9" s="162"/>
      <c r="AW9" s="787"/>
      <c r="AX9" s="787"/>
      <c r="AY9" s="787"/>
      <c r="AZ9" s="150"/>
      <c r="BA9" s="150"/>
      <c r="BB9" s="150"/>
      <c r="BC9" s="150"/>
      <c r="BD9">
        <v>3</v>
      </c>
      <c r="BE9" s="162">
        <f>SUM('3 programa'!K47,)</f>
        <v>239.97500000000002</v>
      </c>
      <c r="BF9" s="162">
        <f>SUM('3 programa'!L47,)</f>
        <v>0</v>
      </c>
      <c r="BG9" s="162">
        <f>SUM('3 programa'!M47,)</f>
        <v>0</v>
      </c>
    </row>
    <row r="10" spans="1:61" ht="21" customHeight="1">
      <c r="A10" s="162" t="s">
        <v>2004</v>
      </c>
      <c r="B10" s="841">
        <f>SUM('2 programa '!K81,'2 programa '!K162,'2 programa '!K176,'2 programa '!K193,'2 programa '!K233,'2 programa '!K237,'2 programa '!K239,'2 programa '!K241,'2 programa '!K243,'2 programa '!K332)</f>
        <v>946.84999999999991</v>
      </c>
      <c r="C10" s="841">
        <f>SUM('2 programa '!L81,'2 programa '!L162,'2 programa '!L176,'2 programa '!L193,'2 programa '!L233,'2 programa '!L237,'2 programa '!L239,'2 programa '!L241,'2 programa '!L243,'2 programa '!L332)</f>
        <v>1094.3000000000002</v>
      </c>
      <c r="D10" s="841">
        <f>SUM('2 programa '!M81,'2 programa '!M162,'2 programa '!M176,'2 programa '!M193,'2 programa '!M233,'2 programa '!M237,'2 programa '!M239,'2 programa '!M241,'2 programa '!M243,'2 programa '!M332)</f>
        <v>1141.7</v>
      </c>
      <c r="E10" s="721"/>
      <c r="F10" s="849">
        <f>SUM('2 programa '!K202,'2 programa '!K203,'2 programa '!K247,'2 programa '!K249,'2 programa '!K271,'2 programa '!K272,'2 programa '!K275,'2 programa '!K276,'2 programa '!K285,'2 programa '!K286,'2 programa '!K307,'2 programa '!K308,)</f>
        <v>1492.4490000000001</v>
      </c>
      <c r="G10" s="849">
        <f>SUM('2 programa '!L276,'2 programa '!L307,'2 programa '!L308,)</f>
        <v>261.08300000000003</v>
      </c>
      <c r="H10" s="849">
        <f>SUM('2 programa '!M276,'2 programa '!M307,'2 programa '!M308,)</f>
        <v>0</v>
      </c>
      <c r="I10" s="721"/>
      <c r="J10" s="857">
        <f>SUM('2 programa '!K343,)</f>
        <v>10509.85</v>
      </c>
      <c r="K10" s="857">
        <f>SUM('2 programa '!L343,)</f>
        <v>11154.37</v>
      </c>
      <c r="L10" s="857">
        <f>SUM('2 programa '!M343,)</f>
        <v>11771.700000000003</v>
      </c>
      <c r="M10" s="721"/>
      <c r="N10" s="854">
        <f>SUM('2 programa '!K88,'2 programa '!K94,'2 programa '!K100,'2 programa '!K106,'2 programa '!K112,'2 programa '!K158,'2 programa '!K224,'2 programa '!K334)</f>
        <v>499.74200000000002</v>
      </c>
      <c r="O10" s="854">
        <f>SUM('2 programa '!L88,'2 programa '!L94,'2 programa '!L100,'2 programa '!L106,'2 programa '!L112,'2 programa '!L158,'2 programa '!L224,'2 programa '!L334)</f>
        <v>526.82099999999991</v>
      </c>
      <c r="P10" s="854">
        <f>SUM('2 programa '!M88,'2 programa '!M94,'2 programa '!M100,'2 programa '!M106,'2 programa '!M112,'2 programa '!M158,'2 programa '!M224,'2 programa '!M334)</f>
        <v>526.82099999999991</v>
      </c>
      <c r="Q10" s="721"/>
      <c r="R10" s="780">
        <f>'2 programa '!K136</f>
        <v>40.200000000000003</v>
      </c>
      <c r="S10" s="780">
        <f>'2 programa '!L136</f>
        <v>40.200000000000003</v>
      </c>
      <c r="T10" s="780">
        <f>'2 programa '!M136</f>
        <v>40.200000000000003</v>
      </c>
      <c r="U10" s="868"/>
      <c r="V10" s="891">
        <f>SUM('2 programa '!K16,'2 programa '!K228)</f>
        <v>6664.3199999999988</v>
      </c>
      <c r="W10" s="888">
        <f>SUM('2 programa '!L16,'2 programa '!L228)</f>
        <v>6687.6500000000005</v>
      </c>
      <c r="X10" s="888">
        <f>SUM('2 programa '!M16,'2 programa '!M228)</f>
        <v>7002.3089999999993</v>
      </c>
      <c r="Y10" s="795"/>
      <c r="Z10" s="823">
        <f>SUM('2 programa '!K17,'2 programa '!K195,'2 programa '!K225,)</f>
        <v>859</v>
      </c>
      <c r="AA10" s="823">
        <f>SUM('2 programa '!L346)</f>
        <v>911.40000000000009</v>
      </c>
      <c r="AB10" s="823">
        <f>SUM('2 programa '!M346)</f>
        <v>965.19999999999993</v>
      </c>
      <c r="AC10" s="893">
        <f>'2 programa '!K18</f>
        <v>29.093</v>
      </c>
      <c r="AD10" s="823">
        <f>SUM(Z10+AC10)</f>
        <v>888.09299999999996</v>
      </c>
      <c r="AE10" s="795"/>
      <c r="AF10" s="793">
        <f>SUM('2 programa '!K206,'2 programa '!K207,'2 programa '!K246,'2 programa '!K248,'2 programa '!K273,'2 programa '!K277,'2 programa '!K287,'2 programa '!K306,'2 programa '!K327,'2 programa '!K329,)</f>
        <v>3118.7599999999993</v>
      </c>
      <c r="AG10" s="793">
        <f>SUM('2 programa '!L206,'2 programa '!L207,'2 programa '!L246,'2 programa '!L248,'2 programa '!L273,'2 programa '!L277,'2 programa '!L287,'2 programa '!L306,'2 programa '!L327,'2 programa '!L329,)</f>
        <v>755.12</v>
      </c>
      <c r="AH10" s="793">
        <f>SUM('2 programa '!M206,'2 programa '!M207,'2 programa '!M246,'2 programa '!M248,'2 programa '!M273,'2 programa '!M277,'2 programa '!M287,'2 programa '!M306,'2 programa '!M327,'2 programa '!M329,)</f>
        <v>0</v>
      </c>
      <c r="AI10" s="795"/>
      <c r="AJ10" s="783"/>
      <c r="AK10" s="783"/>
      <c r="AL10" s="783"/>
      <c r="AM10" s="783"/>
      <c r="AN10" s="880"/>
      <c r="AO10" s="825">
        <f>SUM('2 programa '!K278,'2 programa '!K309,)</f>
        <v>0</v>
      </c>
      <c r="AP10" s="825">
        <f>SUM('2 programa '!L278,'2 programa '!L309,)</f>
        <v>36.908000000000001</v>
      </c>
      <c r="AQ10" s="825">
        <f>SUM('2 programa '!M278,'2 programa '!M309,)</f>
        <v>108.86799999999999</v>
      </c>
      <c r="AR10" s="162"/>
      <c r="AS10" s="794">
        <f>SUM('2 programa '!K350)</f>
        <v>3.9910000000000001</v>
      </c>
      <c r="AT10" s="795">
        <f>SUM('2 programa '!L350)</f>
        <v>4.07</v>
      </c>
      <c r="AU10" s="795">
        <f>SUM('2 programa '!M350)</f>
        <v>4.07</v>
      </c>
      <c r="AV10" s="795"/>
      <c r="AW10" s="787">
        <f>SUM(B10,F10,J10,N10,R10,V10,Z10,,AF10,AO10,AS10,)</f>
        <v>24135.162</v>
      </c>
      <c r="AX10" s="787">
        <f>SUM(C10,G10,K10,O10,S10,W10,AA10,,AG10,AP10,AT10,)</f>
        <v>21471.922000000002</v>
      </c>
      <c r="AY10" s="787">
        <f>SUM(D10,H10,L10,P10,T10,X10,AB10,,AH10,AQ10,AU10,)</f>
        <v>21560.868000000002</v>
      </c>
      <c r="AZ10" s="150">
        <f>AW10-'2 programa '!K351</f>
        <v>-29.093000000000757</v>
      </c>
      <c r="BA10" s="150">
        <f>AX10-'2 programa '!L351</f>
        <v>0</v>
      </c>
      <c r="BB10" s="150">
        <f>AY10-'2 programa '!M351</f>
        <v>0</v>
      </c>
      <c r="BC10" s="150"/>
      <c r="BD10">
        <v>4</v>
      </c>
      <c r="BE10" s="162"/>
      <c r="BF10" s="162"/>
      <c r="BG10" s="162"/>
    </row>
    <row r="11" spans="1:61" ht="21" customHeight="1">
      <c r="A11" s="162" t="s">
        <v>3973</v>
      </c>
      <c r="B11" s="841">
        <v>946.85</v>
      </c>
      <c r="C11" s="841">
        <v>1094.3</v>
      </c>
      <c r="D11" s="841">
        <v>1141.7</v>
      </c>
      <c r="E11" s="721"/>
      <c r="F11" s="849">
        <v>1492.4490000000001</v>
      </c>
      <c r="G11" s="849">
        <v>261.08300000000003</v>
      </c>
      <c r="H11" s="849">
        <v>0</v>
      </c>
      <c r="I11" s="721"/>
      <c r="J11" s="790"/>
      <c r="K11" s="790"/>
      <c r="L11" s="790"/>
      <c r="M11" s="795"/>
      <c r="N11" s="853"/>
      <c r="O11" s="791"/>
      <c r="P11" s="791"/>
      <c r="Q11" s="795"/>
      <c r="R11" s="780"/>
      <c r="S11" s="780"/>
      <c r="T11" s="780"/>
      <c r="U11" s="868"/>
      <c r="V11" s="888"/>
      <c r="W11" s="888"/>
      <c r="X11" s="888"/>
      <c r="Y11" s="795"/>
      <c r="Z11" s="792"/>
      <c r="AA11" s="792"/>
      <c r="AB11" s="792"/>
      <c r="AC11" s="792"/>
      <c r="AD11" s="792"/>
      <c r="AE11" s="795"/>
      <c r="AF11" s="793"/>
      <c r="AG11" s="793"/>
      <c r="AH11" s="793"/>
      <c r="AI11" s="795"/>
      <c r="AJ11" s="783"/>
      <c r="AK11" s="783"/>
      <c r="AL11" s="783"/>
      <c r="AM11" s="783"/>
      <c r="AN11" s="880"/>
      <c r="AO11" s="825"/>
      <c r="AP11" s="825"/>
      <c r="AQ11" s="825"/>
      <c r="AR11" s="162"/>
      <c r="AS11" s="794"/>
      <c r="AT11" s="795"/>
      <c r="AU11" s="795"/>
      <c r="AV11" s="795"/>
      <c r="AW11" s="787"/>
      <c r="AX11" s="787"/>
      <c r="AY11" s="787"/>
      <c r="AZ11" s="150"/>
      <c r="BA11" s="150"/>
      <c r="BB11" s="150"/>
      <c r="BC11" s="150"/>
      <c r="BD11">
        <v>5</v>
      </c>
      <c r="BE11" s="162"/>
      <c r="BF11" s="162"/>
      <c r="BG11" s="162"/>
    </row>
    <row r="12" spans="1:61" ht="21" customHeight="1">
      <c r="A12" s="835" t="s">
        <v>3956</v>
      </c>
      <c r="B12" s="840">
        <f>B10-B11</f>
        <v>0</v>
      </c>
      <c r="C12" s="840">
        <f>C10-C11</f>
        <v>0</v>
      </c>
      <c r="D12" s="840">
        <f>D10-D11</f>
        <v>0</v>
      </c>
      <c r="E12" s="911"/>
      <c r="F12" s="840">
        <f>F10-F11</f>
        <v>0</v>
      </c>
      <c r="G12" s="840">
        <f>G10-G11</f>
        <v>0</v>
      </c>
      <c r="H12" s="840">
        <f>H10-H11</f>
        <v>0</v>
      </c>
      <c r="I12" s="721"/>
      <c r="J12" s="790"/>
      <c r="K12" s="790"/>
      <c r="L12" s="790"/>
      <c r="M12" s="795"/>
      <c r="N12" s="916"/>
      <c r="O12" s="791"/>
      <c r="P12" s="791"/>
      <c r="Q12" s="795"/>
      <c r="R12" s="780"/>
      <c r="S12" s="780"/>
      <c r="T12" s="780"/>
      <c r="U12" s="868"/>
      <c r="V12" s="888"/>
      <c r="W12" s="888"/>
      <c r="X12" s="888"/>
      <c r="Y12" s="795"/>
      <c r="Z12" s="792"/>
      <c r="AA12" s="792"/>
      <c r="AB12" s="792"/>
      <c r="AC12" s="792"/>
      <c r="AD12" s="792"/>
      <c r="AE12" s="795"/>
      <c r="AF12" s="793"/>
      <c r="AG12" s="793"/>
      <c r="AH12" s="793"/>
      <c r="AI12" s="795"/>
      <c r="AJ12" s="783"/>
      <c r="AK12" s="783"/>
      <c r="AL12" s="783"/>
      <c r="AM12" s="783"/>
      <c r="AN12" s="880"/>
      <c r="AO12" s="825"/>
      <c r="AP12" s="825"/>
      <c r="AQ12" s="825"/>
      <c r="AR12" s="162"/>
      <c r="AS12" s="794"/>
      <c r="AT12" s="795"/>
      <c r="AU12" s="795"/>
      <c r="AV12" s="795"/>
      <c r="AW12" s="787"/>
      <c r="AX12" s="787"/>
      <c r="AY12" s="787"/>
      <c r="AZ12" s="150"/>
      <c r="BA12" s="150"/>
      <c r="BB12" s="150"/>
      <c r="BC12" s="150"/>
      <c r="BD12">
        <v>6</v>
      </c>
      <c r="BE12" s="905">
        <f>SUM('6 programa'!K131,'6 programa'!K161,'6 programa'!K203,'6 programa'!K207,'6 programa'!K227,'6 programa'!K233,'6 programa'!K251,'6 programa'!K263,)</f>
        <v>809.4129999999999</v>
      </c>
      <c r="BF12" s="905">
        <f>SUM('6 programa'!L131,'6 programa'!L161,'6 programa'!L203,'6 programa'!L207,'6 programa'!L227,'6 programa'!L233,'6 programa'!L251,'6 programa'!L263,)</f>
        <v>0</v>
      </c>
      <c r="BG12" s="905">
        <f>SUM('6 programa'!M131,'6 programa'!M161,'6 programa'!M203,'6 programa'!M207,'6 programa'!M227,'6 programa'!M233,'6 programa'!M251,'6 programa'!M263,)</f>
        <v>0</v>
      </c>
      <c r="BH12" s="585">
        <v>809.41300000000001</v>
      </c>
      <c r="BI12" s="585">
        <f>BE12-BH12</f>
        <v>0</v>
      </c>
    </row>
    <row r="13" spans="1:61">
      <c r="A13" s="162" t="s">
        <v>3974</v>
      </c>
      <c r="B13" s="841">
        <f>SUM('3 programa'!K14,'3 programa'!K26,'3 programa'!K39,'3 programa'!K41,'3 programa'!K64,'3 programa'!K67)</f>
        <v>1542.9000000000003</v>
      </c>
      <c r="C13" s="841">
        <f>SUM('3 programa'!L14,'3 programa'!L26,'3 programa'!L39,'3 programa'!L41,'3 programa'!L64,'3 programa'!L67)</f>
        <v>1551.9</v>
      </c>
      <c r="D13" s="841">
        <f>SUM('3 programa'!M14,'3 programa'!M26,'3 programa'!M39,'3 programa'!M41,'3 programa'!M64,'3 programa'!M67)</f>
        <v>1556.902</v>
      </c>
      <c r="E13" s="721"/>
      <c r="F13" s="849">
        <f>SUM('3 programa'!K47)</f>
        <v>239.97500000000002</v>
      </c>
      <c r="G13" s="849">
        <f>SUM('3 programa'!L47)</f>
        <v>0</v>
      </c>
      <c r="H13" s="849">
        <f>SUM('3 programa'!M47)</f>
        <v>0</v>
      </c>
      <c r="I13" s="721"/>
      <c r="J13" s="857">
        <f>'3 programa'!K15</f>
        <v>30.15</v>
      </c>
      <c r="K13" s="857">
        <f>'3 programa'!L15</f>
        <v>32.630000000000003</v>
      </c>
      <c r="L13" s="857">
        <f>'3 programa'!M15</f>
        <v>35.299999999999997</v>
      </c>
      <c r="M13" s="721"/>
      <c r="N13" s="854"/>
      <c r="O13" s="854"/>
      <c r="P13" s="854"/>
      <c r="Q13" s="721"/>
      <c r="R13" s="797"/>
      <c r="S13" s="797"/>
      <c r="T13" s="797"/>
      <c r="U13" s="795"/>
      <c r="V13" s="888">
        <v>0</v>
      </c>
      <c r="W13" s="888">
        <v>0</v>
      </c>
      <c r="X13" s="888">
        <v>0</v>
      </c>
      <c r="Y13" s="795"/>
      <c r="Z13" s="823">
        <v>0</v>
      </c>
      <c r="AA13" s="823">
        <v>0</v>
      </c>
      <c r="AB13" s="823">
        <v>0</v>
      </c>
      <c r="AC13" s="893">
        <v>0</v>
      </c>
      <c r="AD13" s="823">
        <v>0</v>
      </c>
      <c r="AE13" s="795"/>
      <c r="AF13" s="793">
        <f>SUM('3 programa'!K49,)</f>
        <v>23.436</v>
      </c>
      <c r="AG13" s="793">
        <f>SUM('3 programa'!L49,)</f>
        <v>0</v>
      </c>
      <c r="AH13" s="793">
        <f>SUM('3 programa'!M49,)</f>
        <v>0</v>
      </c>
      <c r="AI13" s="795"/>
      <c r="AJ13" s="782"/>
      <c r="AK13" s="782"/>
      <c r="AL13" s="782"/>
      <c r="AM13" s="782"/>
      <c r="AN13" s="868"/>
      <c r="AO13" s="825">
        <f>SUM('3 programa'!K51)</f>
        <v>0</v>
      </c>
      <c r="AP13" s="825">
        <f>SUM('3 programa'!L51)</f>
        <v>0</v>
      </c>
      <c r="AQ13" s="825">
        <f>SUM('3 programa'!M51)</f>
        <v>40.002000000000002</v>
      </c>
      <c r="AR13" s="162"/>
      <c r="AS13" s="162">
        <f>SUM('3 programa'!K78)</f>
        <v>0</v>
      </c>
      <c r="AT13" s="868">
        <f>'3 programa'!L78</f>
        <v>0</v>
      </c>
      <c r="AU13" s="162">
        <f>SUM('3 programa'!M78)</f>
        <v>0</v>
      </c>
      <c r="AV13" s="162"/>
      <c r="AW13" s="787">
        <f>SUM(B13,F13,J13,N13,R13,V13,Z13,AF13,AS13)</f>
        <v>1836.4610000000005</v>
      </c>
      <c r="AX13" s="787">
        <f>SUM(C13,G13,K13,O13,S13,W13,AA13,AG13,AT13)</f>
        <v>1584.5300000000002</v>
      </c>
      <c r="AY13" s="787">
        <f>SUM(D13,H13,L13,P13,T13,X13,AB13,AH13,AU13,AQ13)</f>
        <v>1632.204</v>
      </c>
      <c r="AZ13" s="150">
        <f>AW13-'3 programa'!K79</f>
        <v>0</v>
      </c>
      <c r="BA13" s="150">
        <f>AX13-'3 programa'!L79</f>
        <v>-50.603000000000065</v>
      </c>
      <c r="BB13" s="150">
        <f>AY13-'3 programa'!M79</f>
        <v>0</v>
      </c>
      <c r="BC13" s="150"/>
      <c r="BD13">
        <v>7</v>
      </c>
      <c r="BE13" s="868">
        <f>SUM('7 programa'!K59)</f>
        <v>8.85</v>
      </c>
      <c r="BF13" s="868">
        <f>SUM('7 programa'!L59)</f>
        <v>0</v>
      </c>
      <c r="BG13" s="868">
        <f>SUM('7 programa'!M59)</f>
        <v>0</v>
      </c>
    </row>
    <row r="14" spans="1:61">
      <c r="A14" s="162" t="s">
        <v>3975</v>
      </c>
      <c r="B14" s="841">
        <v>1542.9</v>
      </c>
      <c r="C14" s="841">
        <v>1551.9</v>
      </c>
      <c r="D14" s="841">
        <v>1556.9</v>
      </c>
      <c r="E14" s="721"/>
      <c r="F14" s="849">
        <v>239.97499999999999</v>
      </c>
      <c r="G14" s="849">
        <f>SUM('3 programa'!L49)</f>
        <v>0</v>
      </c>
      <c r="H14" s="849">
        <f>SUM('3 programa'!M49)</f>
        <v>0</v>
      </c>
      <c r="I14" s="721"/>
      <c r="J14" s="790"/>
      <c r="K14" s="790"/>
      <c r="L14" s="790"/>
      <c r="M14" s="795"/>
      <c r="N14" s="791"/>
      <c r="O14" s="791"/>
      <c r="P14" s="791"/>
      <c r="Q14" s="795"/>
      <c r="R14" s="797"/>
      <c r="S14" s="797"/>
      <c r="T14" s="797"/>
      <c r="U14" s="795"/>
      <c r="V14" s="888"/>
      <c r="W14" s="888"/>
      <c r="X14" s="888"/>
      <c r="Y14" s="795"/>
      <c r="Z14" s="792"/>
      <c r="AA14" s="792"/>
      <c r="AB14" s="792"/>
      <c r="AC14" s="792"/>
      <c r="AD14" s="792"/>
      <c r="AE14" s="795"/>
      <c r="AF14" s="793"/>
      <c r="AG14" s="793"/>
      <c r="AH14" s="793"/>
      <c r="AI14" s="795"/>
      <c r="AJ14" s="782"/>
      <c r="AK14" s="782"/>
      <c r="AL14" s="782"/>
      <c r="AM14" s="782"/>
      <c r="AN14" s="868"/>
      <c r="AO14" s="825"/>
      <c r="AP14" s="825"/>
      <c r="AQ14" s="825"/>
      <c r="AR14" s="162"/>
      <c r="AS14" s="162"/>
      <c r="AT14" s="162"/>
      <c r="AU14" s="162"/>
      <c r="AV14" s="162"/>
      <c r="AW14" s="787"/>
      <c r="AX14" s="787"/>
      <c r="AY14" s="787"/>
      <c r="AZ14" s="150"/>
      <c r="BA14" s="150"/>
      <c r="BB14" s="150"/>
      <c r="BC14" s="150"/>
      <c r="BD14">
        <v>8</v>
      </c>
      <c r="BE14" s="913">
        <f>SUM('8 programa'!K54,'8 programa'!K105,'8 programa'!K108,)</f>
        <v>87.741</v>
      </c>
      <c r="BF14" s="868">
        <f>SUM('8 programa'!L54,'8 programa'!L105,'8 programa'!L108,)</f>
        <v>0</v>
      </c>
      <c r="BG14" s="868">
        <f>SUM('8 programa'!M54,'8 programa'!M105,'8 programa'!M108,)</f>
        <v>0</v>
      </c>
      <c r="BH14" s="585">
        <v>87.741</v>
      </c>
      <c r="BI14" s="151">
        <f>BH14-BE14</f>
        <v>0</v>
      </c>
    </row>
    <row r="15" spans="1:61">
      <c r="A15" s="835" t="s">
        <v>3956</v>
      </c>
      <c r="B15" s="840">
        <f>B13-B14</f>
        <v>0</v>
      </c>
      <c r="C15" s="840">
        <f>C13-C14</f>
        <v>0</v>
      </c>
      <c r="D15" s="840">
        <f>D13-D14</f>
        <v>1.9999999999527063E-3</v>
      </c>
      <c r="E15" s="721"/>
      <c r="F15" s="840">
        <f>F13-F14</f>
        <v>0</v>
      </c>
      <c r="G15" s="840">
        <f>G13-G14</f>
        <v>0</v>
      </c>
      <c r="H15" s="840">
        <f>H13-H14</f>
        <v>0</v>
      </c>
      <c r="I15" s="721"/>
      <c r="J15" s="790"/>
      <c r="K15" s="790"/>
      <c r="L15" s="790"/>
      <c r="M15" s="795"/>
      <c r="N15" s="791"/>
      <c r="O15" s="791"/>
      <c r="P15" s="791"/>
      <c r="Q15" s="795"/>
      <c r="R15" s="797"/>
      <c r="S15" s="797"/>
      <c r="T15" s="797"/>
      <c r="U15" s="795"/>
      <c r="V15" s="888"/>
      <c r="W15" s="888"/>
      <c r="X15" s="888"/>
      <c r="Y15" s="795"/>
      <c r="Z15" s="792"/>
      <c r="AA15" s="792"/>
      <c r="AB15" s="792"/>
      <c r="AC15" s="792"/>
      <c r="AD15" s="792"/>
      <c r="AE15" s="795"/>
      <c r="AF15" s="793"/>
      <c r="AG15" s="793"/>
      <c r="AH15" s="793"/>
      <c r="AI15" s="795"/>
      <c r="AJ15" s="782"/>
      <c r="AK15" s="782"/>
      <c r="AL15" s="782"/>
      <c r="AM15" s="782"/>
      <c r="AN15" s="868"/>
      <c r="AO15" s="825"/>
      <c r="AP15" s="825"/>
      <c r="AQ15" s="825"/>
      <c r="AR15" s="162"/>
      <c r="AS15" s="162"/>
      <c r="AT15" s="162"/>
      <c r="AU15" s="162"/>
      <c r="AV15" s="162"/>
      <c r="AW15" s="787"/>
      <c r="AX15" s="787"/>
      <c r="AY15" s="787"/>
      <c r="AZ15" s="150"/>
      <c r="BA15" s="150"/>
      <c r="BB15" s="150"/>
      <c r="BC15" s="150"/>
      <c r="BD15">
        <v>9</v>
      </c>
      <c r="BE15" s="868">
        <f>SUM('9 programa'!H23,'9 programa'!H29,'9 programa'!H83,'9 programa'!H89,'9 programa'!H122,'9 programa'!H128,'9 programa'!H163,)</f>
        <v>763.66800000000001</v>
      </c>
      <c r="BF15" s="868">
        <f>SUM('9 programa'!I23,'9 programa'!I29,'9 programa'!I83,'9 programa'!I89,'9 programa'!I122,'9 programa'!I128,'9 programa'!I163,)</f>
        <v>0</v>
      </c>
      <c r="BG15" s="868">
        <f>SUM('9 programa'!J23,'9 programa'!J29,'9 programa'!J83,'9 programa'!J89,'9 programa'!J122,'9 programa'!J128,'9 programa'!J163,)</f>
        <v>0</v>
      </c>
      <c r="BH15">
        <v>763.66800000000001</v>
      </c>
      <c r="BI15" s="151">
        <f>BH15-BE15</f>
        <v>0</v>
      </c>
    </row>
    <row r="16" spans="1:61">
      <c r="A16" s="162" t="s">
        <v>3976</v>
      </c>
      <c r="B16" s="841">
        <f>SUM('4 programa'!K37,'4 programa'!K42,'4 programa'!K48,'4 programa'!K53,'4 programa'!K57,'4 programa'!K62,'4 programa'!K66,'4 programa'!K71,'4 programa'!K75,'4 programa'!K82,'4 programa'!K89,'4 programa'!K93,'4 programa'!K99,'4 programa'!K104,'4 programa'!K109,)</f>
        <v>474.84999999999997</v>
      </c>
      <c r="C16" s="841">
        <f>SUM('4 programa'!L37,'4 programa'!L42,'4 programa'!L48,'4 programa'!L53,'4 programa'!L57,'4 programa'!L62,'4 programa'!L66,'4 programa'!L71,'4 programa'!L75,'4 programa'!L82,'4 programa'!L89,'4 programa'!L93,'4 programa'!L99,'4 programa'!L104,'4 programa'!L109,)</f>
        <v>393.29899999999998</v>
      </c>
      <c r="D16" s="841">
        <f>SUM('4 programa'!M37,'4 programa'!M42,'4 programa'!M48,'4 programa'!M53,'4 programa'!M57,'4 programa'!M62,'4 programa'!M66,'4 programa'!M71,'4 programa'!M75,'4 programa'!M82,'4 programa'!M89,'4 programa'!M93,'4 programa'!M99,'4 programa'!M104,'4 programa'!M109,)</f>
        <v>373.9</v>
      </c>
      <c r="E16" s="721"/>
      <c r="F16" s="789"/>
      <c r="G16" s="789"/>
      <c r="H16" s="789"/>
      <c r="I16" s="795"/>
      <c r="J16" s="857"/>
      <c r="K16" s="857"/>
      <c r="L16" s="857"/>
      <c r="M16" s="721"/>
      <c r="N16" s="856">
        <f>SUM('4 programa'!K20)</f>
        <v>25.276</v>
      </c>
      <c r="O16" s="854">
        <f>SUM('4 programa'!L20)</f>
        <v>25.276</v>
      </c>
      <c r="P16" s="854">
        <f>SUM('4 programa'!M20)</f>
        <v>25.276</v>
      </c>
      <c r="Q16" s="721"/>
      <c r="R16" s="796"/>
      <c r="S16" s="796"/>
      <c r="T16" s="796"/>
      <c r="U16" s="794"/>
      <c r="V16" s="888">
        <f>SUM('4 programa'!K17)</f>
        <v>1654.5900000000001</v>
      </c>
      <c r="W16" s="888">
        <f>SUM('4 programa'!L17)</f>
        <v>1658.3799999999999</v>
      </c>
      <c r="X16" s="888">
        <f>SUM('4 programa'!M17)</f>
        <v>1737.6599999999999</v>
      </c>
      <c r="Y16" s="795"/>
      <c r="Z16" s="823">
        <f>SUM('4 programa'!K18)</f>
        <v>48.9</v>
      </c>
      <c r="AA16" s="823">
        <f>SUM('4 programa'!L18)</f>
        <v>53.199999999999996</v>
      </c>
      <c r="AB16" s="823">
        <f>SUM('4 programa'!M18)</f>
        <v>57.5</v>
      </c>
      <c r="AC16" s="893">
        <v>0</v>
      </c>
      <c r="AD16" s="823">
        <f>Z16+AC16</f>
        <v>48.9</v>
      </c>
      <c r="AE16" s="795"/>
      <c r="AF16" s="793">
        <v>0</v>
      </c>
      <c r="AG16" s="793">
        <v>0</v>
      </c>
      <c r="AH16" s="793">
        <v>0</v>
      </c>
      <c r="AI16" s="795"/>
      <c r="AJ16" s="782"/>
      <c r="AK16" s="782"/>
      <c r="AL16" s="782"/>
      <c r="AM16" s="782"/>
      <c r="AN16" s="868"/>
      <c r="AO16" s="825"/>
      <c r="AP16" s="825"/>
      <c r="AQ16" s="825"/>
      <c r="AR16" s="162"/>
      <c r="AS16" s="795">
        <f>SUM('4 programa'!K22)</f>
        <v>34</v>
      </c>
      <c r="AT16" s="795">
        <f>SUM('4 programa'!L22)</f>
        <v>26</v>
      </c>
      <c r="AU16" s="795">
        <f>SUM('4 programa'!M22)</f>
        <v>26</v>
      </c>
      <c r="AV16" s="795"/>
      <c r="AW16" s="787">
        <f>SUM(B16,F16,J16,N16,R16,V16,Z16,AF16,AJ16,AO16,AS16,)</f>
        <v>2237.6160000000004</v>
      </c>
      <c r="AX16" s="787">
        <f>SUM(C16,G16,K16,O16,S16,W16,AA16,AG16,AK16,AP16,AT16,)</f>
        <v>2156.1549999999997</v>
      </c>
      <c r="AY16" s="787">
        <f>SUM(D16,H16,L16,P16,T16,X16,AB16,AH16,AL16,AQ16,AU16,)</f>
        <v>2220.3359999999998</v>
      </c>
      <c r="AZ16" s="150">
        <f>SUM(AW16-'4 programa'!K124)</f>
        <v>4.5474735088646412E-13</v>
      </c>
      <c r="BA16" s="150">
        <f>SUM(AX16-'4 programa'!L124)</f>
        <v>0</v>
      </c>
      <c r="BB16" s="150">
        <f>SUM(AY16-'4 programa'!M124)</f>
        <v>0</v>
      </c>
      <c r="BC16" s="150"/>
      <c r="BD16">
        <v>10</v>
      </c>
      <c r="BE16" s="162">
        <f>SUM('10 programa'!K46,'10 programa'!K52,'10 programa'!K58)</f>
        <v>263.68799999999999</v>
      </c>
      <c r="BF16" s="162">
        <f>SUM('10 programa'!L46,'10 programa'!L52,'10 programa'!L58)</f>
        <v>0</v>
      </c>
      <c r="BG16" s="162">
        <f>SUM('10 programa'!M46,'10 programa'!M52,'10 programa'!M58)</f>
        <v>0</v>
      </c>
    </row>
    <row r="17" spans="1:61">
      <c r="A17" s="162" t="s">
        <v>3977</v>
      </c>
      <c r="B17" s="841">
        <v>474.85</v>
      </c>
      <c r="C17" s="841">
        <v>393.3</v>
      </c>
      <c r="D17" s="841">
        <v>373.9</v>
      </c>
      <c r="E17" s="721"/>
      <c r="F17" s="789"/>
      <c r="G17" s="789"/>
      <c r="H17" s="789"/>
      <c r="I17" s="795"/>
      <c r="J17" s="857"/>
      <c r="K17" s="857"/>
      <c r="L17" s="857"/>
      <c r="M17" s="721"/>
      <c r="N17" s="801"/>
      <c r="O17" s="791"/>
      <c r="P17" s="791"/>
      <c r="Q17" s="795"/>
      <c r="R17" s="796"/>
      <c r="S17" s="796"/>
      <c r="T17" s="796"/>
      <c r="U17" s="794"/>
      <c r="V17" s="888"/>
      <c r="W17" s="888"/>
      <c r="X17" s="888"/>
      <c r="Y17" s="795"/>
      <c r="Z17" s="792"/>
      <c r="AA17" s="792"/>
      <c r="AB17" s="792"/>
      <c r="AC17" s="792"/>
      <c r="AD17" s="792"/>
      <c r="AE17" s="795"/>
      <c r="AF17" s="793"/>
      <c r="AG17" s="793"/>
      <c r="AH17" s="793"/>
      <c r="AI17" s="795"/>
      <c r="AJ17" s="782"/>
      <c r="AK17" s="782"/>
      <c r="AL17" s="782"/>
      <c r="AM17" s="782"/>
      <c r="AN17" s="868"/>
      <c r="AO17" s="825"/>
      <c r="AP17" s="825"/>
      <c r="AQ17" s="825"/>
      <c r="AR17" s="162"/>
      <c r="AS17" s="795"/>
      <c r="AT17" s="795"/>
      <c r="AU17" s="795"/>
      <c r="AV17" s="795"/>
      <c r="AW17" s="787"/>
      <c r="AX17" s="787"/>
      <c r="AY17" s="787"/>
      <c r="AZ17" s="150"/>
      <c r="BA17" s="150"/>
      <c r="BB17" s="150"/>
      <c r="BC17" s="150"/>
      <c r="BE17" s="162"/>
      <c r="BF17" s="162"/>
      <c r="BG17" s="162"/>
    </row>
    <row r="18" spans="1:61">
      <c r="A18" s="835" t="s">
        <v>3956</v>
      </c>
      <c r="B18" s="840">
        <f>B16-B17</f>
        <v>0</v>
      </c>
      <c r="C18" s="840">
        <f>C16-C17</f>
        <v>-1.0000000000331966E-3</v>
      </c>
      <c r="D18" s="840">
        <f>D16-D17</f>
        <v>0</v>
      </c>
      <c r="E18" s="721"/>
      <c r="F18" s="848"/>
      <c r="G18" s="848"/>
      <c r="H18" s="848"/>
      <c r="I18" s="795"/>
      <c r="J18" s="857"/>
      <c r="K18" s="857"/>
      <c r="L18" s="857"/>
      <c r="M18" s="721"/>
      <c r="N18" s="801"/>
      <c r="O18" s="791"/>
      <c r="P18" s="791"/>
      <c r="Q18" s="795"/>
      <c r="R18" s="796"/>
      <c r="S18" s="796"/>
      <c r="T18" s="796"/>
      <c r="U18" s="794"/>
      <c r="V18" s="888"/>
      <c r="W18" s="888"/>
      <c r="X18" s="888"/>
      <c r="Y18" s="795"/>
      <c r="Z18" s="792"/>
      <c r="AA18" s="792"/>
      <c r="AB18" s="792"/>
      <c r="AC18" s="792"/>
      <c r="AD18" s="792"/>
      <c r="AE18" s="795"/>
      <c r="AF18" s="793"/>
      <c r="AG18" s="793"/>
      <c r="AH18" s="793"/>
      <c r="AI18" s="795"/>
      <c r="AJ18" s="782"/>
      <c r="AK18" s="782"/>
      <c r="AL18" s="782"/>
      <c r="AM18" s="782"/>
      <c r="AN18" s="868"/>
      <c r="AO18" s="825"/>
      <c r="AP18" s="825"/>
      <c r="AQ18" s="825"/>
      <c r="AR18" s="162"/>
      <c r="AS18" s="795"/>
      <c r="AT18" s="795"/>
      <c r="AU18" s="795"/>
      <c r="AV18" s="795"/>
      <c r="AW18" s="787"/>
      <c r="AX18" s="787"/>
      <c r="AY18" s="787"/>
      <c r="AZ18" s="150"/>
      <c r="BA18" s="150"/>
      <c r="BB18" s="150"/>
      <c r="BC18" s="150"/>
      <c r="BD18" t="s">
        <v>2818</v>
      </c>
      <c r="BE18" s="880">
        <f>BE7+BE8+BE9+BE10+BE11+BE12+BE13+BE14+BE15+BE16</f>
        <v>3698.23</v>
      </c>
      <c r="BF18" s="162">
        <f t="shared" ref="BF18:BG18" si="0">SUM(BF7:BF16)</f>
        <v>0</v>
      </c>
      <c r="BG18" s="162">
        <f t="shared" si="0"/>
        <v>0</v>
      </c>
      <c r="BH18" s="161"/>
      <c r="BI18" s="161"/>
    </row>
    <row r="19" spans="1:61" ht="14.25" customHeight="1">
      <c r="A19" s="162" t="s">
        <v>3978</v>
      </c>
      <c r="B19" s="841">
        <f>SUM('5 programa'!K18,'5 programa'!K21,'5 programa'!K28,'5 programa'!K31,'5 programa'!K33,'5 programa'!K35,'5 programa'!K38,'5 programa'!K40,'5 programa'!K42,'5 programa'!K44,'5 programa'!K47,'5 programa'!K49,'5 programa'!K55,'5 programa'!K57,'5 programa'!K60,'5 programa'!K73)</f>
        <v>626.46</v>
      </c>
      <c r="C19" s="841">
        <f>SUM('5 programa'!L18,'5 programa'!L21,'5 programa'!L28,'5 programa'!L31,'5 programa'!L33,'5 programa'!L35,'5 programa'!L38,'5 programa'!L40,'5 programa'!L42,'5 programa'!L44,'5 programa'!L47,'5 programa'!L49,'5 programa'!L55,'5 programa'!L57,'5 programa'!L60,'5 programa'!L73)</f>
        <v>574.01099999999997</v>
      </c>
      <c r="D19" s="841">
        <f>SUM('5 programa'!M18,'5 programa'!M21,'5 programa'!M28,'5 programa'!M31,'5 programa'!M33,'5 programa'!M35,'5 programa'!M38,'5 programa'!M40,'5 programa'!M42,'5 programa'!M44,'5 programa'!M47,'5 programa'!M49,'5 programa'!M55,'5 programa'!M57,'5 programa'!M60,'5 programa'!M73)</f>
        <v>350.75099999999998</v>
      </c>
      <c r="E19" s="721"/>
      <c r="F19" s="789"/>
      <c r="G19" s="789"/>
      <c r="H19" s="789"/>
      <c r="I19" s="795"/>
      <c r="J19" s="857"/>
      <c r="K19" s="857"/>
      <c r="L19" s="857"/>
      <c r="M19" s="721"/>
      <c r="N19" s="854">
        <f>SUM('5 programa'!K79)</f>
        <v>13.824999999999999</v>
      </c>
      <c r="O19" s="854">
        <f>SUM('5 programa'!L79)</f>
        <v>13.824999999999999</v>
      </c>
      <c r="P19" s="854">
        <f>SUM('5 programa'!M79)</f>
        <v>13.824999999999999</v>
      </c>
      <c r="Q19" s="721"/>
      <c r="R19" s="796"/>
      <c r="S19" s="796"/>
      <c r="T19" s="796"/>
      <c r="U19" s="794"/>
      <c r="V19" s="888">
        <v>0</v>
      </c>
      <c r="W19" s="888">
        <v>0</v>
      </c>
      <c r="X19" s="888">
        <v>0</v>
      </c>
      <c r="Y19" s="795"/>
      <c r="Z19" s="823">
        <v>0</v>
      </c>
      <c r="AA19" s="823">
        <v>0</v>
      </c>
      <c r="AB19" s="823">
        <v>0</v>
      </c>
      <c r="AC19" s="893">
        <v>0</v>
      </c>
      <c r="AD19" s="823">
        <v>0</v>
      </c>
      <c r="AE19" s="795"/>
      <c r="AF19" s="793">
        <f>'5 programa'!K81</f>
        <v>28.74</v>
      </c>
      <c r="AG19" s="793">
        <f>'5 programa'!L81</f>
        <v>28.74</v>
      </c>
      <c r="AH19" s="793">
        <f>'5 programa'!M81</f>
        <v>28.74</v>
      </c>
      <c r="AI19" s="795"/>
      <c r="AJ19" s="782"/>
      <c r="AK19" s="782"/>
      <c r="AL19" s="782"/>
      <c r="AM19" s="782"/>
      <c r="AN19" s="868"/>
      <c r="AO19" s="825"/>
      <c r="AP19" s="825"/>
      <c r="AQ19" s="825"/>
      <c r="AR19" s="162"/>
      <c r="AS19" s="162"/>
      <c r="AT19" s="162"/>
      <c r="AU19" s="162"/>
      <c r="AV19" s="162"/>
      <c r="AW19" s="787">
        <f>SUM(B19,F19,J19,N19,R19,V19,Z19,AF19,)</f>
        <v>669.02500000000009</v>
      </c>
      <c r="AX19" s="787">
        <f>SUM(C19,G19,K19,O19,S19,W19,AA19,AG19,)</f>
        <v>616.57600000000002</v>
      </c>
      <c r="AY19" s="787">
        <f>SUM(D19,H19,L19,P19,T19,X19,AB19,AH19,)</f>
        <v>393.31599999999997</v>
      </c>
      <c r="AZ19" s="150">
        <f>SUM(AW19-'5 programa'!K85)</f>
        <v>0</v>
      </c>
      <c r="BA19" s="150">
        <f>SUM(AX19-'5 programa'!L85)</f>
        <v>0</v>
      </c>
      <c r="BB19" s="150">
        <f>SUM(AY19-'5 programa'!M85)</f>
        <v>-5.6843418860808015E-14</v>
      </c>
      <c r="BC19" s="150"/>
      <c r="BE19" s="880">
        <v>3698.23</v>
      </c>
      <c r="BF19" s="906"/>
      <c r="BG19" s="906"/>
    </row>
    <row r="20" spans="1:61" ht="14.25" customHeight="1">
      <c r="A20" s="162" t="s">
        <v>3979</v>
      </c>
      <c r="B20" s="841">
        <v>626.46</v>
      </c>
      <c r="C20" s="841">
        <v>574.01</v>
      </c>
      <c r="D20" s="841">
        <v>350.75</v>
      </c>
      <c r="E20" s="721"/>
      <c r="F20" s="789"/>
      <c r="G20" s="789"/>
      <c r="H20" s="789"/>
      <c r="I20" s="795"/>
      <c r="J20" s="857"/>
      <c r="K20" s="857"/>
      <c r="L20" s="857"/>
      <c r="M20" s="721"/>
      <c r="N20" s="791"/>
      <c r="O20" s="791"/>
      <c r="P20" s="791"/>
      <c r="Q20" s="795"/>
      <c r="R20" s="796"/>
      <c r="S20" s="796"/>
      <c r="T20" s="796"/>
      <c r="U20" s="794"/>
      <c r="V20" s="888"/>
      <c r="W20" s="888"/>
      <c r="X20" s="888"/>
      <c r="Y20" s="795"/>
      <c r="Z20" s="792"/>
      <c r="AA20" s="792"/>
      <c r="AB20" s="792"/>
      <c r="AC20" s="792"/>
      <c r="AD20" s="792"/>
      <c r="AE20" s="795"/>
      <c r="AF20" s="793"/>
      <c r="AG20" s="793"/>
      <c r="AH20" s="793"/>
      <c r="AI20" s="795"/>
      <c r="AJ20" s="782"/>
      <c r="AK20" s="782"/>
      <c r="AL20" s="782"/>
      <c r="AM20" s="782"/>
      <c r="AN20" s="868"/>
      <c r="AO20" s="825"/>
      <c r="AP20" s="825"/>
      <c r="AQ20" s="825"/>
      <c r="AR20" s="162"/>
      <c r="AS20" s="162"/>
      <c r="AT20" s="162"/>
      <c r="AU20" s="162"/>
      <c r="AV20" s="162"/>
      <c r="AW20" s="787"/>
      <c r="AX20" s="787"/>
      <c r="AY20" s="787"/>
      <c r="AZ20" s="150"/>
      <c r="BA20" s="150"/>
      <c r="BB20" s="150"/>
      <c r="BC20" s="150"/>
      <c r="BE20" s="868">
        <f>BE19-BE18</f>
        <v>0</v>
      </c>
      <c r="BF20" s="162"/>
      <c r="BG20" s="162"/>
      <c r="BH20" s="150"/>
    </row>
    <row r="21" spans="1:61" ht="14.25" customHeight="1">
      <c r="A21" s="835" t="s">
        <v>3956</v>
      </c>
      <c r="B21" s="840">
        <f>B19-B20</f>
        <v>0</v>
      </c>
      <c r="C21" s="840">
        <f t="shared" ref="C21:D21" si="1">C19-C20</f>
        <v>9.9999999997635314E-4</v>
      </c>
      <c r="D21" s="840">
        <f t="shared" si="1"/>
        <v>9.9999999997635314E-4</v>
      </c>
      <c r="E21" s="721"/>
      <c r="F21" s="848"/>
      <c r="G21" s="848"/>
      <c r="H21" s="848"/>
      <c r="I21" s="795"/>
      <c r="J21" s="857"/>
      <c r="K21" s="857"/>
      <c r="L21" s="857"/>
      <c r="M21" s="721"/>
      <c r="N21" s="791"/>
      <c r="O21" s="791"/>
      <c r="P21" s="791"/>
      <c r="Q21" s="795"/>
      <c r="R21" s="796"/>
      <c r="S21" s="796"/>
      <c r="T21" s="796"/>
      <c r="U21" s="794"/>
      <c r="V21" s="888"/>
      <c r="W21" s="888"/>
      <c r="X21" s="888"/>
      <c r="Y21" s="795"/>
      <c r="Z21" s="792"/>
      <c r="AA21" s="792"/>
      <c r="AB21" s="792"/>
      <c r="AC21" s="792"/>
      <c r="AD21" s="792"/>
      <c r="AE21" s="795"/>
      <c r="AF21" s="793"/>
      <c r="AG21" s="793"/>
      <c r="AH21" s="793"/>
      <c r="AI21" s="795"/>
      <c r="AJ21" s="782"/>
      <c r="AK21" s="782"/>
      <c r="AL21" s="782"/>
      <c r="AM21" s="782"/>
      <c r="AN21" s="868"/>
      <c r="AO21" s="825"/>
      <c r="AP21" s="825"/>
      <c r="AQ21" s="825"/>
      <c r="AR21" s="162"/>
      <c r="AS21" s="162"/>
      <c r="AT21" s="162"/>
      <c r="AU21" s="162"/>
      <c r="AV21" s="162"/>
      <c r="AW21" s="787"/>
      <c r="AX21" s="787"/>
      <c r="AY21" s="787"/>
      <c r="AZ21" s="150"/>
      <c r="BA21" s="150"/>
      <c r="BB21" s="150"/>
      <c r="BC21" s="150"/>
      <c r="BE21" s="908" t="s">
        <v>4025</v>
      </c>
      <c r="BF21" s="908"/>
      <c r="BG21" s="908"/>
    </row>
    <row r="22" spans="1:61">
      <c r="A22" s="162" t="s">
        <v>3980</v>
      </c>
      <c r="B22" s="841">
        <f>SUM('6 programa'!K33,'6 programa'!K47,'6 programa'!K93,'6 programa'!K97,'6 programa'!K100,'6 programa'!K102,'6 programa'!K104,'6 programa'!K108,'6 programa'!K112,'6 programa'!K115,'6 programa'!K117,'6 programa'!K119,'6 programa'!K127,'6 programa'!K146,'6 programa'!K158,'6 programa'!K182,'6 programa'!K189,'6 programa'!K220,)</f>
        <v>984.51</v>
      </c>
      <c r="C22" s="841">
        <f>SUM('6 programa'!L33,'6 programa'!L47,'6 programa'!L93,'6 programa'!L97,'6 programa'!L100,'6 programa'!L102,'6 programa'!L104,'6 programa'!L108,'6 programa'!L112,'6 programa'!L115,'6 programa'!L117,'6 programa'!L119,'6 programa'!L127,'6 programa'!L146,'6 programa'!L158,'6 programa'!L182,'6 programa'!L189,'6 programa'!L220,)</f>
        <v>932.96</v>
      </c>
      <c r="D22" s="841">
        <f>SUM('6 programa'!M33,'6 programa'!M47,'6 programa'!M93,'6 programa'!M97,'6 programa'!M100,'6 programa'!M102,'6 programa'!M104,'6 programa'!M108,'6 programa'!M112,'6 programa'!M115,'6 programa'!M117,'6 programa'!M119,'6 programa'!M127,'6 programa'!M146,'6 programa'!M158,'6 programa'!M182,'6 programa'!M189,'6 programa'!M220,)</f>
        <v>935.85899999999992</v>
      </c>
      <c r="E22" s="721"/>
      <c r="F22" s="910">
        <f>SUM('6 programa'!K131,'6 programa'!K132,'6 programa'!K160,'6 programa'!K161,'6 programa'!K207,'6 programa'!K208,'6 programa'!K227,'6 programa'!K228,'6 programa'!K233,'6 programa'!K234,'6 programa'!K250,'6 programa'!K251,'6 programa'!K263,'6 programa'!K264,)</f>
        <v>869.4129999999999</v>
      </c>
      <c r="G22" s="910">
        <v>141.30000000000001</v>
      </c>
      <c r="H22" s="910">
        <f>SUM('6 programa'!M163,'6 programa'!M210,'6 programa'!M231,'6 programa'!M236,'6 programa'!M253,'6 programa'!M266)</f>
        <v>234.01500000000001</v>
      </c>
      <c r="I22" s="802"/>
      <c r="J22" s="858"/>
      <c r="K22" s="858"/>
      <c r="L22" s="858"/>
      <c r="M22" s="802"/>
      <c r="N22" s="854">
        <f>SUM('6 programa'!K19,'6 programa'!K43,'6 programa'!K61,'6 programa'!K98,'6 programa'!K105,'6 programa'!K141,'6 programa'!K150,'6 programa'!K154,'6 programa'!K175,'6 programa'!K183,'6 programa'!K190,'6 programa'!K199,)</f>
        <v>422.16099999999994</v>
      </c>
      <c r="O22" s="854">
        <f>SUM('6 programa'!L19,'6 programa'!L43,'6 programa'!L61,'6 programa'!L98,'6 programa'!L105,'6 programa'!L141,'6 programa'!L150,'6 programa'!L154,'6 programa'!L175,'6 programa'!L183,'6 programa'!L190,'6 programa'!L199,)</f>
        <v>421.221</v>
      </c>
      <c r="P22" s="854">
        <f>SUM('6 programa'!M19,'6 programa'!M43,'6 programa'!M61,'6 programa'!M98,'6 programa'!M105,'6 programa'!M141,'6 programa'!M150,'6 programa'!M154,'6 programa'!M175,'6 programa'!M183,'6 programa'!M190,'6 programa'!M199,)</f>
        <v>421.221</v>
      </c>
      <c r="Q22" s="721"/>
      <c r="R22" s="862">
        <f>SUM('6 programa'!K41,'6 programa'!K58,'6 programa'!K60,'6 programa'!K74,'6 programa'!K88,'6 programa'!K149,'6 programa'!K176,)</f>
        <v>2056.9519999999998</v>
      </c>
      <c r="S22" s="862">
        <f>SUM('6 programa'!L41,'6 programa'!L58,'6 programa'!L60,'6 programa'!L74,'6 programa'!L88,'6 programa'!L149,'6 programa'!L176,)</f>
        <v>2056.9519999999998</v>
      </c>
      <c r="T22" s="862">
        <f>SUM('6 programa'!M41,'6 programa'!M58,'6 programa'!M60,'6 programa'!M74,'6 programa'!M88,'6 programa'!M149,'6 programa'!M176,)</f>
        <v>2056.9519999999998</v>
      </c>
      <c r="U22" s="721"/>
      <c r="V22" s="888">
        <f>SUM('6 programa'!K22,'6 programa'!K28,'6 programa'!K42)</f>
        <v>3247.4399999999996</v>
      </c>
      <c r="W22" s="888">
        <f>SUM('6 programa'!L22,'6 programa'!L28,'6 programa'!L42)</f>
        <v>3251.5199999999995</v>
      </c>
      <c r="X22" s="888">
        <f>SUM('6 programa'!M22,'6 programa'!M28,'6 programa'!M42)</f>
        <v>3301.0699999999997</v>
      </c>
      <c r="Y22" s="795"/>
      <c r="Z22" s="823">
        <f>SUM('6 programa'!K17,'6 programa'!K113,'6 programa'!K128,'6 programa'!K174,'6 programa'!K267,)</f>
        <v>617.85</v>
      </c>
      <c r="AA22" s="823">
        <f>SUM('6 programa'!L17,'6 programa'!L113,'6 programa'!L128,'6 programa'!L129,'6 programa'!L174,'6 programa'!L267,)</f>
        <v>672.40000000000009</v>
      </c>
      <c r="AB22" s="823">
        <f>SUM('6 programa'!M17,'6 programa'!M113,'6 programa'!M128,'6 programa'!M129,'6 programa'!M174,'6 programa'!M267,)</f>
        <v>712.7</v>
      </c>
      <c r="AC22" s="823">
        <f>'6 programa'!K129</f>
        <v>13.198</v>
      </c>
      <c r="AD22" s="823">
        <f>Z22+AC22</f>
        <v>631.048</v>
      </c>
      <c r="AE22" s="795"/>
      <c r="AF22" s="793">
        <f>SUM('6 programa'!K125,'6 programa'!K135,'6 programa'!K140,'6 programa'!K142,'6 programa'!K162,'6 programa'!K185,'6 programa'!K186,'6 programa'!K209,'6 programa'!K229,'6 programa'!K230,'6 programa'!K235,'6 programa'!K252,'6 programa'!K265,)</f>
        <v>2025.9099999999999</v>
      </c>
      <c r="AG22" s="793">
        <f>SUM('6 programa'!L125,'6 programa'!L135,'6 programa'!L140,'6 programa'!L142,'6 programa'!L162,'6 programa'!L185,'6 programa'!L186,'6 programa'!L209,'6 programa'!L229,'6 programa'!L230,'6 programa'!L235,'6 programa'!L252,'6 programa'!L265,)</f>
        <v>2626.4790000000003</v>
      </c>
      <c r="AH22" s="793">
        <f>SUM('6 programa'!M125,'6 programa'!M135,'6 programa'!M140,'6 programa'!M142,'6 programa'!M162,'6 programa'!M185,'6 programa'!M186,'6 programa'!M209,'6 programa'!M229,'6 programa'!M230,'6 programa'!M235,'6 programa'!M252,'6 programa'!M265,)</f>
        <v>929.55599999999993</v>
      </c>
      <c r="AI22" s="795"/>
      <c r="AJ22" s="782"/>
      <c r="AK22" s="782"/>
      <c r="AL22" s="782"/>
      <c r="AM22" s="782"/>
      <c r="AN22" s="868"/>
      <c r="AO22" s="903">
        <f>SUM('6 programa'!K133,'6 programa'!K163,'6 programa'!K205,'6 programa'!K210,'6 programa'!K231,'6 programa'!K236,'6 programa'!K253,'6 programa'!K266,)</f>
        <v>26.21</v>
      </c>
      <c r="AP22" s="903">
        <f>SUM('6 programa'!L133,'6 programa'!L163,'6 programa'!L236,'6 programa'!L253,'6 programa'!L266)</f>
        <v>656.21899999999994</v>
      </c>
      <c r="AQ22" s="903">
        <f>SUM('6 programa'!M163,'6 programa'!M210,'6 programa'!M231,'6 programa'!M236,'6 programa'!M253,'6 programa'!M266,)</f>
        <v>234.01500000000001</v>
      </c>
      <c r="AR22" s="882"/>
      <c r="AS22" s="795">
        <f>SUM('6 programa'!K35,'6 programa'!K38)</f>
        <v>7504.9000000000005</v>
      </c>
      <c r="AT22" s="795">
        <f>SUM('6 programa'!L35,'6 programa'!L38)</f>
        <v>7504.9000000000005</v>
      </c>
      <c r="AU22" s="795">
        <f>SUM('6 programa'!M35,'6 programa'!M38)</f>
        <v>7504.9000000000005</v>
      </c>
      <c r="AV22" s="795"/>
      <c r="AW22" s="787">
        <f>SUM(B22,F22,J22,N22,R22,V22,Z22,AF22,AO22,AS22,)</f>
        <v>17755.345999999998</v>
      </c>
      <c r="AX22" s="787">
        <f>SUM(C22,G22,K22,O22,S22,W22,AA22,AG22,AP22,AT22,)</f>
        <v>18263.950999999997</v>
      </c>
      <c r="AY22" s="787">
        <f>SUM(D22,H22,L22,P22,T22,X22,AB22,AH22,AQ22,AU22,)</f>
        <v>16330.288</v>
      </c>
      <c r="AZ22" s="150">
        <f>SUM(AW22-'6 programa'!K285)</f>
        <v>-13.198000000003958</v>
      </c>
      <c r="BA22" s="150">
        <f>SUM(AX22-'6 programa'!L285)</f>
        <v>1.0000000002037268E-3</v>
      </c>
      <c r="BB22" s="150">
        <f>SUM(AY22-'6 programa'!M285)</f>
        <v>227.59500000000116</v>
      </c>
      <c r="BC22" s="150"/>
      <c r="BD22">
        <v>1</v>
      </c>
      <c r="BE22" s="868">
        <f>SUM('1 programa '!K121,'1 programa '!K124)</f>
        <v>681.3</v>
      </c>
      <c r="BF22" s="868">
        <f>SUM('1 programa '!L121,'1 programa '!L124)</f>
        <v>0</v>
      </c>
      <c r="BG22" s="868">
        <f>SUM('1 programa '!M121,'1 programa '!M124)</f>
        <v>0</v>
      </c>
    </row>
    <row r="23" spans="1:61">
      <c r="A23" s="162" t="s">
        <v>3981</v>
      </c>
      <c r="B23" s="841">
        <v>984.51</v>
      </c>
      <c r="C23" s="841">
        <v>932.96</v>
      </c>
      <c r="D23" s="841">
        <v>935.86</v>
      </c>
      <c r="E23" s="721"/>
      <c r="F23" s="899">
        <v>895.62300000000005</v>
      </c>
      <c r="G23" s="899">
        <v>797.51900000000001</v>
      </c>
      <c r="H23" s="899">
        <v>234.01499999999999</v>
      </c>
      <c r="I23" s="802"/>
      <c r="J23" s="858"/>
      <c r="K23" s="858"/>
      <c r="L23" s="858"/>
      <c r="M23" s="802"/>
      <c r="N23" s="791"/>
      <c r="O23" s="791"/>
      <c r="P23" s="791"/>
      <c r="Q23" s="795"/>
      <c r="R23" s="797"/>
      <c r="S23" s="796"/>
      <c r="T23" s="796"/>
      <c r="U23" s="794"/>
      <c r="V23" s="888"/>
      <c r="W23" s="888"/>
      <c r="X23" s="888"/>
      <c r="Y23" s="795"/>
      <c r="Z23" s="792"/>
      <c r="AA23" s="792"/>
      <c r="AB23" s="792"/>
      <c r="AC23" s="792"/>
      <c r="AD23" s="792"/>
      <c r="AE23" s="795"/>
      <c r="AF23" s="793"/>
      <c r="AG23" s="793"/>
      <c r="AH23" s="793"/>
      <c r="AI23" s="795"/>
      <c r="AJ23" s="782"/>
      <c r="AK23" s="782"/>
      <c r="AL23" s="782"/>
      <c r="AM23" s="782"/>
      <c r="AN23" s="868"/>
      <c r="AO23" s="903"/>
      <c r="AP23" s="903"/>
      <c r="AQ23" s="903"/>
      <c r="AR23" s="882"/>
      <c r="AS23" s="795"/>
      <c r="AT23" s="795"/>
      <c r="AU23" s="795"/>
      <c r="AV23" s="795"/>
      <c r="AW23" s="787"/>
      <c r="AX23" s="787"/>
      <c r="AY23" s="787"/>
      <c r="AZ23" s="150"/>
      <c r="BA23" s="150"/>
      <c r="BB23" s="150"/>
      <c r="BC23" s="150"/>
      <c r="BD23">
        <v>2</v>
      </c>
      <c r="BE23" s="162"/>
      <c r="BF23" s="162"/>
      <c r="BG23" s="162"/>
    </row>
    <row r="24" spans="1:61">
      <c r="A24" s="835" t="s">
        <v>3956</v>
      </c>
      <c r="B24" s="840">
        <f>B22-B23</f>
        <v>0</v>
      </c>
      <c r="C24" s="840">
        <f t="shared" ref="C24:D24" si="2">C22-C23</f>
        <v>0</v>
      </c>
      <c r="D24" s="840">
        <f t="shared" si="2"/>
        <v>-1.00000000009004E-3</v>
      </c>
      <c r="E24" s="911" t="s">
        <v>4028</v>
      </c>
      <c r="F24" s="898">
        <f>F22-F23</f>
        <v>-26.21000000000015</v>
      </c>
      <c r="G24" s="898">
        <f>G22-G23</f>
        <v>-656.21900000000005</v>
      </c>
      <c r="H24" s="898">
        <f>H22-H23</f>
        <v>0</v>
      </c>
      <c r="I24" s="721"/>
      <c r="J24" s="858"/>
      <c r="K24" s="858"/>
      <c r="L24" s="858"/>
      <c r="M24" s="802"/>
      <c r="N24" s="791"/>
      <c r="O24" s="791"/>
      <c r="P24" s="791"/>
      <c r="Q24" s="795"/>
      <c r="R24" s="797"/>
      <c r="S24" s="796"/>
      <c r="T24" s="796"/>
      <c r="U24" s="794"/>
      <c r="V24" s="888"/>
      <c r="W24" s="888"/>
      <c r="X24" s="888"/>
      <c r="Y24" s="795"/>
      <c r="Z24" s="792"/>
      <c r="AA24" s="792"/>
      <c r="AB24" s="792"/>
      <c r="AC24" s="792"/>
      <c r="AD24" s="792"/>
      <c r="AE24" s="795"/>
      <c r="AF24" s="793"/>
      <c r="AG24" s="793"/>
      <c r="AH24" s="793"/>
      <c r="AI24" s="795"/>
      <c r="AJ24" s="782"/>
      <c r="AK24" s="782"/>
      <c r="AL24" s="782"/>
      <c r="AM24" s="782"/>
      <c r="AN24" s="868"/>
      <c r="AO24" s="903"/>
      <c r="AP24" s="903"/>
      <c r="AQ24" s="903"/>
      <c r="AR24" s="882"/>
      <c r="AS24" s="795"/>
      <c r="AT24" s="795"/>
      <c r="AU24" s="795"/>
      <c r="AV24" s="795"/>
      <c r="AW24" s="787"/>
      <c r="AX24" s="787"/>
      <c r="AY24" s="787"/>
      <c r="AZ24" s="150"/>
      <c r="BA24" s="150"/>
      <c r="BB24" s="150"/>
      <c r="BC24" s="150"/>
      <c r="BD24">
        <v>3</v>
      </c>
      <c r="BE24" s="162"/>
      <c r="BF24" s="162"/>
      <c r="BG24" s="162"/>
    </row>
    <row r="25" spans="1:61">
      <c r="A25" s="162" t="s">
        <v>3982</v>
      </c>
      <c r="B25" s="841">
        <f>SUM('7 programa'!K19,'7 programa'!K22,'7 programa'!K27,'7 programa'!K39,'7 programa'!K89,)</f>
        <v>54.93</v>
      </c>
      <c r="C25" s="841">
        <f>SUM('7 programa'!L19,'7 programa'!L22,'7 programa'!L27,'7 programa'!L39,'7 programa'!L89,)</f>
        <v>32.799999999999997</v>
      </c>
      <c r="D25" s="841">
        <f>SUM('7 programa'!M19,'7 programa'!M22,'7 programa'!M27,'7 programa'!M39,'7 programa'!M89,)</f>
        <v>33.798999999999999</v>
      </c>
      <c r="E25" s="721"/>
      <c r="F25" s="849">
        <f>SUM('7 programa'!K41,'7 programa'!K42,'7 programa'!K58,'7 programa'!K59,'7 programa'!K74,'7 programa'!K75,'7 programa'!K92,'7 programa'!K93,'7 programa'!K127,'7 programa'!K128,'7 programa'!K139,'7 programa'!K140,)</f>
        <v>8.85</v>
      </c>
      <c r="G25" s="849">
        <f>SUM('7 programa'!L41,'7 programa'!L42,'7 programa'!L58,'7 programa'!L59,'7 programa'!L74,'7 programa'!L75,'7 programa'!L92,'7 programa'!L93,'7 programa'!L127,'7 programa'!L128,'7 programa'!L139,'7 programa'!L140,)</f>
        <v>8.85</v>
      </c>
      <c r="H25" s="849">
        <f>SUM('7 programa'!M41,'7 programa'!M42,'7 programa'!M58,'7 programa'!M59,'7 programa'!M74,'7 programa'!M75,'7 programa'!M92,'7 programa'!M93,'7 programa'!M127,'7 programa'!M128,'7 programa'!M139,'7 programa'!M140,)</f>
        <v>0.3</v>
      </c>
      <c r="I25" s="721"/>
      <c r="J25" s="858"/>
      <c r="K25" s="858"/>
      <c r="L25" s="858"/>
      <c r="M25" s="802"/>
      <c r="N25" s="800"/>
      <c r="O25" s="800"/>
      <c r="P25" s="800"/>
      <c r="Q25" s="874"/>
      <c r="R25" s="862">
        <f>SUM('7 programa'!K18,'7 programa'!K28,'7 programa'!K37,)</f>
        <v>222.88</v>
      </c>
      <c r="S25" s="862">
        <f>SUM('7 programa'!L18,'7 programa'!L28,'7 programa'!L37,)</f>
        <v>226.58</v>
      </c>
      <c r="T25" s="862">
        <f>SUM('7 programa'!M18,'7 programa'!M28,'7 programa'!M37,)</f>
        <v>230.28000000000003</v>
      </c>
      <c r="U25" s="721"/>
      <c r="V25" s="888">
        <v>0</v>
      </c>
      <c r="W25" s="888">
        <v>0</v>
      </c>
      <c r="X25" s="888">
        <v>0</v>
      </c>
      <c r="Y25" s="795"/>
      <c r="Z25" s="817">
        <v>0</v>
      </c>
      <c r="AA25" s="817">
        <v>0</v>
      </c>
      <c r="AB25" s="817">
        <v>0</v>
      </c>
      <c r="AC25" s="817">
        <v>0</v>
      </c>
      <c r="AD25" s="817">
        <v>0</v>
      </c>
      <c r="AE25" s="794"/>
      <c r="AF25" s="793">
        <f>SUM('7 programa'!K43,'7 programa'!K44,'7 programa'!K60,'7 programa'!K76:K78,'7 programa'!K94,'7 programa'!K129,'7 programa'!K141,)</f>
        <v>1481.8697320000001</v>
      </c>
      <c r="AG25" s="793">
        <f>SUM('7 programa'!L43,'7 programa'!L44,'7 programa'!L60,'7 programa'!L76:L78,'7 programa'!L94,'7 programa'!L129,'7 programa'!L141,)</f>
        <v>490.61599999999999</v>
      </c>
      <c r="AH25" s="793">
        <f>SUM('7 programa'!M43,'7 programa'!M44,'7 programa'!M60,'7 programa'!M76:M78,'7 programa'!M94,'7 programa'!M129,'7 programa'!M141,)</f>
        <v>130.40959800000002</v>
      </c>
      <c r="AI25" s="795"/>
      <c r="AJ25" s="824">
        <f>'7 programa'!K13+'7 programa'!K14</f>
        <v>25.307000000000002</v>
      </c>
      <c r="AK25" s="824">
        <f>SUM('7 programa'!L13)</f>
        <v>11.2</v>
      </c>
      <c r="AL25" s="824">
        <f>SUM('7 programa'!M13)</f>
        <v>11.2</v>
      </c>
      <c r="AM25" s="838">
        <f>'7 programa'!K14</f>
        <v>13.407</v>
      </c>
      <c r="AN25" s="802"/>
      <c r="AO25" s="904">
        <f>SUM('8 programa'!K58)</f>
        <v>0</v>
      </c>
      <c r="AP25" s="904">
        <v>0</v>
      </c>
      <c r="AQ25" s="904">
        <v>0</v>
      </c>
      <c r="AR25" s="794"/>
      <c r="AS25" s="794">
        <v>0</v>
      </c>
      <c r="AT25" s="794">
        <v>0</v>
      </c>
      <c r="AU25" s="794">
        <v>0</v>
      </c>
      <c r="AV25" s="794"/>
      <c r="AW25" s="787">
        <f>SUM(B25,F25,J25,N25,R25,V25,Z25,AF25,AJ25,AO25,AS25,)</f>
        <v>1793.836732</v>
      </c>
      <c r="AX25" s="787">
        <f>SUM(C25,G25,K25,O25,S25,W25,AA25,AG25,AK25,AP25,AT25,)</f>
        <v>770.04600000000005</v>
      </c>
      <c r="AY25" s="787">
        <f>SUM(D25,H25,L25,P25,T25,X25,AB25,AH25,AL25,AQ25,AU25,)</f>
        <v>405.98859800000002</v>
      </c>
      <c r="AZ25" s="150">
        <f>SUM(AW25-'7 programa'!K166)</f>
        <v>2.2737367544323206E-13</v>
      </c>
      <c r="BA25" s="150">
        <f>SUM(AX25-'7 programa'!L166)</f>
        <v>0</v>
      </c>
      <c r="BB25" s="150">
        <f>SUM(AY25-'7 programa'!M166)</f>
        <v>-5.6843418860808015E-14</v>
      </c>
      <c r="BC25" s="150"/>
      <c r="BD25">
        <v>4</v>
      </c>
      <c r="BE25" s="162"/>
      <c r="BF25" s="162"/>
      <c r="BG25" s="162"/>
    </row>
    <row r="26" spans="1:61">
      <c r="A26" s="162" t="s">
        <v>3983</v>
      </c>
      <c r="B26" s="841">
        <v>54.93</v>
      </c>
      <c r="C26" s="841">
        <v>32.799999999999997</v>
      </c>
      <c r="D26" s="841">
        <v>33.799999999999997</v>
      </c>
      <c r="E26" s="721"/>
      <c r="F26" s="849">
        <v>8.85</v>
      </c>
      <c r="G26" s="849">
        <v>8.85</v>
      </c>
      <c r="H26" s="849">
        <v>0.3</v>
      </c>
      <c r="I26" s="721"/>
      <c r="J26" s="858"/>
      <c r="K26" s="858"/>
      <c r="L26" s="858"/>
      <c r="M26" s="802"/>
      <c r="N26" s="800"/>
      <c r="O26" s="800"/>
      <c r="P26" s="800"/>
      <c r="Q26" s="874"/>
      <c r="R26" s="797"/>
      <c r="S26" s="797"/>
      <c r="T26" s="797"/>
      <c r="U26" s="795"/>
      <c r="V26" s="888"/>
      <c r="W26" s="888"/>
      <c r="X26" s="888"/>
      <c r="Y26" s="795"/>
      <c r="Z26" s="817"/>
      <c r="AA26" s="817"/>
      <c r="AB26" s="817"/>
      <c r="AC26" s="817"/>
      <c r="AD26" s="817"/>
      <c r="AE26" s="794"/>
      <c r="AF26" s="793"/>
      <c r="AG26" s="793"/>
      <c r="AH26" s="793"/>
      <c r="AI26" s="795"/>
      <c r="AJ26" s="819"/>
      <c r="AK26" s="819"/>
      <c r="AL26" s="819"/>
      <c r="AM26" s="820"/>
      <c r="AN26" s="794"/>
      <c r="AO26" s="904"/>
      <c r="AP26" s="904"/>
      <c r="AQ26" s="904"/>
      <c r="AR26" s="794"/>
      <c r="AS26" s="794"/>
      <c r="AT26" s="794"/>
      <c r="AU26" s="794"/>
      <c r="AV26" s="794"/>
      <c r="AW26" s="787"/>
      <c r="AX26" s="787"/>
      <c r="AY26" s="787"/>
      <c r="AZ26" s="150"/>
      <c r="BA26" s="150"/>
      <c r="BB26" s="150"/>
      <c r="BC26" s="150"/>
      <c r="BD26">
        <v>5</v>
      </c>
      <c r="BE26" s="162"/>
      <c r="BF26" s="162"/>
      <c r="BG26" s="162"/>
    </row>
    <row r="27" spans="1:61">
      <c r="A27" s="835" t="s">
        <v>3956</v>
      </c>
      <c r="B27" s="840">
        <f>B25-B26</f>
        <v>0</v>
      </c>
      <c r="C27" s="840">
        <f t="shared" ref="C27:D27" si="3">C25-C26</f>
        <v>0</v>
      </c>
      <c r="D27" s="840">
        <f t="shared" si="3"/>
        <v>-9.9999999999766942E-4</v>
      </c>
      <c r="E27" s="721"/>
      <c r="F27" s="840">
        <f>F25-F26</f>
        <v>0</v>
      </c>
      <c r="G27" s="840">
        <f t="shared" ref="G27:H27" si="4">G25-G26</f>
        <v>0</v>
      </c>
      <c r="H27" s="840">
        <f t="shared" si="4"/>
        <v>0</v>
      </c>
      <c r="I27" s="721"/>
      <c r="J27" s="858"/>
      <c r="K27" s="858"/>
      <c r="L27" s="858"/>
      <c r="M27" s="802"/>
      <c r="N27" s="800"/>
      <c r="O27" s="800"/>
      <c r="P27" s="800"/>
      <c r="Q27" s="874"/>
      <c r="R27" s="797"/>
      <c r="S27" s="797"/>
      <c r="T27" s="797"/>
      <c r="U27" s="795"/>
      <c r="V27" s="888"/>
      <c r="W27" s="888"/>
      <c r="X27" s="888"/>
      <c r="Y27" s="795"/>
      <c r="Z27" s="817"/>
      <c r="AA27" s="817"/>
      <c r="AB27" s="817"/>
      <c r="AC27" s="817"/>
      <c r="AD27" s="817"/>
      <c r="AE27" s="794"/>
      <c r="AF27" s="793"/>
      <c r="AG27" s="793"/>
      <c r="AH27" s="793"/>
      <c r="AI27" s="795"/>
      <c r="AJ27" s="819"/>
      <c r="AK27" s="819"/>
      <c r="AL27" s="819"/>
      <c r="AM27" s="820"/>
      <c r="AN27" s="794"/>
      <c r="AO27" s="904"/>
      <c r="AP27" s="904"/>
      <c r="AQ27" s="904"/>
      <c r="AR27" s="794"/>
      <c r="AS27" s="794"/>
      <c r="AT27" s="794"/>
      <c r="AU27" s="794"/>
      <c r="AV27" s="794"/>
      <c r="AW27" s="787"/>
      <c r="AX27" s="787"/>
      <c r="AY27" s="787"/>
      <c r="AZ27" s="150"/>
      <c r="BA27" s="150"/>
      <c r="BB27" s="150"/>
      <c r="BC27" s="150"/>
      <c r="BD27">
        <v>6</v>
      </c>
      <c r="BE27" s="162"/>
      <c r="BF27" s="162"/>
      <c r="BG27" s="162"/>
    </row>
    <row r="28" spans="1:61">
      <c r="A28" s="162" t="s">
        <v>3984</v>
      </c>
      <c r="B28" s="841">
        <f>SUM('8 programa'!K26,'8 programa'!K34,'8 programa'!K43,'8 programa'!K60,'8 programa'!K97,'8 programa'!K113,'8 programa'!K131,'8 programa'!K141,'8 programa'!K144,'8 programa'!K44)</f>
        <v>567.96</v>
      </c>
      <c r="C28" s="841">
        <f>SUM('8 programa'!L26,'8 programa'!L34,'8 programa'!L43,'8 programa'!L60,'8 programa'!L97,'8 programa'!L113,'8 programa'!L131,'8 programa'!L141,'8 programa'!L144,'8 programa'!L44)</f>
        <v>745.53</v>
      </c>
      <c r="D28" s="841">
        <f>SUM('8 programa'!M26,'8 programa'!M34,'8 programa'!M43,'8 programa'!M60,'8 programa'!M97,'8 programa'!M113,'8 programa'!M131,'8 programa'!M141,'8 programa'!M144,'8 programa'!M44)</f>
        <v>505.9</v>
      </c>
      <c r="E28" s="721"/>
      <c r="F28" s="849">
        <f>SUM('8 programa'!K54,'8 programa'!K55,'8 programa'!K104,'8 programa'!K105,'8 programa'!K108,'8 programa'!K109,)</f>
        <v>87.741</v>
      </c>
      <c r="G28" s="849">
        <f>SUM('8 programa'!L54,'8 programa'!L55,'8 programa'!L104,'8 programa'!L105,'8 programa'!L108,'8 programa'!L109,)</f>
        <v>0</v>
      </c>
      <c r="H28" s="849">
        <f>SUM('8 programa'!M54,'8 programa'!M55,'8 programa'!M104,'8 programa'!M105,'8 programa'!M108,'8 programa'!M109,)</f>
        <v>0</v>
      </c>
      <c r="I28" s="721"/>
      <c r="J28" s="858"/>
      <c r="K28" s="858"/>
      <c r="L28" s="858"/>
      <c r="M28" s="802"/>
      <c r="N28" s="773"/>
      <c r="O28" s="773"/>
      <c r="P28" s="773"/>
      <c r="Q28" s="162"/>
      <c r="R28" s="779"/>
      <c r="S28" s="779"/>
      <c r="T28" s="779"/>
      <c r="U28" s="162"/>
      <c r="V28" s="888">
        <f>SUM('8 programa'!K21,'8 programa'!K28)</f>
        <v>3914.45</v>
      </c>
      <c r="W28" s="888">
        <f>SUM('8 programa'!L21,'8 programa'!L28)</f>
        <v>3813.3599999999997</v>
      </c>
      <c r="X28" s="888">
        <f>SUM('8 programa'!M21,'8 programa'!M28)</f>
        <v>3958.83</v>
      </c>
      <c r="Y28" s="795"/>
      <c r="Z28" s="817">
        <v>0</v>
      </c>
      <c r="AA28" s="817">
        <v>0</v>
      </c>
      <c r="AB28" s="817">
        <v>0</v>
      </c>
      <c r="AC28" s="817">
        <v>0</v>
      </c>
      <c r="AD28" s="817">
        <v>0</v>
      </c>
      <c r="AE28" s="794"/>
      <c r="AF28" s="821">
        <f>SUM('8 programa'!K56,'8 programa'!K106,'8 programa'!K110,)</f>
        <v>497.19299999999998</v>
      </c>
      <c r="AG28" s="821">
        <f>SUM('8 programa'!L56,'8 programa'!L106,'8 programa'!L110,)</f>
        <v>1038.731</v>
      </c>
      <c r="AH28" s="821">
        <f>SUM('8 programa'!M56,'8 programa'!M106,'8 programa'!M110,)</f>
        <v>300.80700000000002</v>
      </c>
      <c r="AI28" s="794"/>
      <c r="AJ28" s="782">
        <f>SUM('8 programa'!K18,'8 programa'!K19,'8 programa'!K35,'8 programa'!K36,'8 programa'!K45,'8 programa'!K46,'8 programa'!K61,'8 programa'!K62,'8 programa'!K78,'8 programa'!K79,'8 programa'!K87,'8 programa'!K88,'8 programa'!K99,'8 programa'!K98,)</f>
        <v>103.02</v>
      </c>
      <c r="AK28" s="782">
        <f>SUM('8 programa'!L18,'8 programa'!L19,'8 programa'!L35,'8 programa'!L36,'8 programa'!L45,'8 programa'!L46,'8 programa'!L61,'8 programa'!L62,'8 programa'!L78,'8 programa'!L79,'8 programa'!L98,'8 programa'!L99,)</f>
        <v>44.800000000000004</v>
      </c>
      <c r="AL28" s="782">
        <f>SUM('8 programa'!M18,'8 programa'!M19,'8 programa'!M35,'8 programa'!M36,'8 programa'!M45,'8 programa'!M46,'8 programa'!M61,'8 programa'!M62,'8 programa'!M78,'8 programa'!M79,'8 programa'!M98,'8 programa'!M99,)</f>
        <v>44.800000000000004</v>
      </c>
      <c r="AM28" s="782">
        <f>SUM('8 programa'!K19,'8 programa'!K36,'8 programa'!K46,'8 programa'!K62,'8 programa'!K79,'8 programa'!K88,'8 programa'!K99,)</f>
        <v>52.92</v>
      </c>
      <c r="AN28" s="868"/>
      <c r="AO28" s="825">
        <f>SUM('8 programa'!K58)</f>
        <v>0</v>
      </c>
      <c r="AP28" s="825">
        <f>SUM('8 programa'!L58)</f>
        <v>24.053999999999998</v>
      </c>
      <c r="AQ28" s="825">
        <f>SUM('8 programa'!M58)</f>
        <v>0</v>
      </c>
      <c r="AR28" s="162"/>
      <c r="AS28" s="162">
        <v>0</v>
      </c>
      <c r="AT28" s="162">
        <v>0</v>
      </c>
      <c r="AU28" s="162">
        <v>0</v>
      </c>
      <c r="AV28" s="162"/>
      <c r="AW28" s="787">
        <f>SUM(B28,F28,J28,N28,R28,V28,Z28,AF28,AJ28,AO28,AS28)</f>
        <v>5170.3640000000005</v>
      </c>
      <c r="AX28" s="787">
        <f>SUM(C28,G28,K28,O28,S28,W28,AA28,AG28,AK28,AP28,AT28)</f>
        <v>5666.4749999999995</v>
      </c>
      <c r="AY28" s="787">
        <f>SUM(D28,H28,L28,P28,T28,X28,AB28,AH28,AL28,AQ28,AU28)</f>
        <v>4810.3369999999995</v>
      </c>
      <c r="AZ28" s="822">
        <f>'Suvestinė pagal FŠ'!AW28-'8 programa'!K164</f>
        <v>0</v>
      </c>
      <c r="BA28" s="822">
        <f>'Suvestinė pagal FŠ'!AX28-'8 programa'!L164</f>
        <v>-2</v>
      </c>
      <c r="BB28" s="822">
        <f>'Suvestinė pagal FŠ'!AY28-'8 programa'!M164</f>
        <v>-2</v>
      </c>
      <c r="BC28" s="822"/>
      <c r="BD28">
        <v>7</v>
      </c>
      <c r="BE28" s="162"/>
      <c r="BF28" s="162"/>
      <c r="BG28" s="162"/>
    </row>
    <row r="29" spans="1:61">
      <c r="A29" s="162" t="s">
        <v>3985</v>
      </c>
      <c r="B29" s="837">
        <v>567.96</v>
      </c>
      <c r="C29" s="841">
        <v>745.53</v>
      </c>
      <c r="D29" s="841">
        <v>505.9</v>
      </c>
      <c r="E29" s="721"/>
      <c r="F29" s="849">
        <v>87.741</v>
      </c>
      <c r="G29" s="849">
        <v>24.053999999999998</v>
      </c>
      <c r="H29" s="849">
        <v>0</v>
      </c>
      <c r="I29" s="721"/>
      <c r="J29" s="858"/>
      <c r="K29" s="858"/>
      <c r="L29" s="858"/>
      <c r="M29" s="802"/>
      <c r="N29" s="773"/>
      <c r="O29" s="773"/>
      <c r="P29" s="773"/>
      <c r="Q29" s="162"/>
      <c r="R29" s="779"/>
      <c r="S29" s="779"/>
      <c r="T29" s="779"/>
      <c r="U29" s="162"/>
      <c r="V29" s="888"/>
      <c r="W29" s="888"/>
      <c r="X29" s="888"/>
      <c r="Y29" s="795"/>
      <c r="Z29" s="817"/>
      <c r="AA29" s="817"/>
      <c r="AB29" s="817"/>
      <c r="AC29" s="817"/>
      <c r="AD29" s="817"/>
      <c r="AE29" s="794"/>
      <c r="AF29" s="821"/>
      <c r="AG29" s="821"/>
      <c r="AH29" s="821"/>
      <c r="AI29" s="794"/>
      <c r="AJ29" s="782"/>
      <c r="AK29" s="782"/>
      <c r="AL29" s="782"/>
      <c r="AM29" s="784"/>
      <c r="AN29" s="162"/>
      <c r="AO29" s="825"/>
      <c r="AP29" s="825"/>
      <c r="AQ29" s="825"/>
      <c r="AR29" s="162"/>
      <c r="AS29" s="162"/>
      <c r="AT29" s="162"/>
      <c r="AU29" s="162"/>
      <c r="AV29" s="162"/>
      <c r="AW29" s="787"/>
      <c r="AX29" s="787"/>
      <c r="AY29" s="787"/>
      <c r="AZ29" s="822"/>
      <c r="BA29" s="822"/>
      <c r="BB29" s="822"/>
      <c r="BC29" s="822"/>
      <c r="BD29">
        <v>8</v>
      </c>
      <c r="BE29" s="868">
        <f>SUM('8 programa'!K44)</f>
        <v>163.16</v>
      </c>
      <c r="BF29" s="162">
        <f>SUM('8 programa'!L44)</f>
        <v>0</v>
      </c>
      <c r="BG29" s="162">
        <f>SUM('8 programa'!M44)</f>
        <v>0</v>
      </c>
    </row>
    <row r="30" spans="1:61">
      <c r="A30" s="835" t="s">
        <v>3956</v>
      </c>
      <c r="B30" s="840">
        <f>B28-B29</f>
        <v>0</v>
      </c>
      <c r="C30" s="840">
        <f t="shared" ref="C30:D30" si="5">C28-C29</f>
        <v>0</v>
      </c>
      <c r="D30" s="840">
        <f t="shared" si="5"/>
        <v>0</v>
      </c>
      <c r="E30" s="721"/>
      <c r="F30" s="840">
        <f>F28-F29</f>
        <v>0</v>
      </c>
      <c r="G30" s="840">
        <f t="shared" ref="G30:H30" si="6">G28-G29</f>
        <v>-24.053999999999998</v>
      </c>
      <c r="H30" s="840">
        <f t="shared" si="6"/>
        <v>0</v>
      </c>
      <c r="I30" s="721"/>
      <c r="J30" s="858"/>
      <c r="K30" s="858"/>
      <c r="L30" s="858"/>
      <c r="M30" s="802"/>
      <c r="N30" s="773"/>
      <c r="O30" s="773"/>
      <c r="P30" s="773"/>
      <c r="Q30" s="162"/>
      <c r="R30" s="779"/>
      <c r="S30" s="779"/>
      <c r="T30" s="779"/>
      <c r="U30" s="162"/>
      <c r="V30" s="888"/>
      <c r="W30" s="888"/>
      <c r="X30" s="888"/>
      <c r="Y30" s="795"/>
      <c r="Z30" s="817"/>
      <c r="AA30" s="817"/>
      <c r="AB30" s="817"/>
      <c r="AC30" s="817"/>
      <c r="AD30" s="817"/>
      <c r="AE30" s="794"/>
      <c r="AF30" s="821"/>
      <c r="AG30" s="821"/>
      <c r="AH30" s="821"/>
      <c r="AI30" s="794"/>
      <c r="AJ30" s="782"/>
      <c r="AK30" s="782"/>
      <c r="AL30" s="782"/>
      <c r="AM30" s="784"/>
      <c r="AN30" s="162"/>
      <c r="AO30" s="825"/>
      <c r="AP30" s="825"/>
      <c r="AQ30" s="825"/>
      <c r="AR30" s="162"/>
      <c r="AS30" s="162"/>
      <c r="AT30" s="162"/>
      <c r="AU30" s="162"/>
      <c r="AV30" s="162"/>
      <c r="AW30" s="787"/>
      <c r="AX30" s="787"/>
      <c r="AY30" s="787"/>
      <c r="AZ30" s="822"/>
      <c r="BA30" s="822"/>
      <c r="BB30" s="822"/>
      <c r="BC30" s="822"/>
      <c r="BD30">
        <v>9</v>
      </c>
      <c r="BE30" s="868">
        <f>SUM('9 programa'!H117)</f>
        <v>942.42</v>
      </c>
      <c r="BF30" s="868">
        <f>SUM('9 programa'!I117)</f>
        <v>0</v>
      </c>
      <c r="BG30" s="868">
        <f>SUM('9 programa'!J117)</f>
        <v>0</v>
      </c>
    </row>
    <row r="31" spans="1:61" s="84" customFormat="1">
      <c r="A31" s="802" t="s">
        <v>3986</v>
      </c>
      <c r="B31" s="841">
        <f>SUM('9 programa'!H32,'9 programa'!H34,'9 programa'!H36,'9 programa'!H38,'9 programa'!H41,'9 programa'!H51,'9 programa'!H53,'9 programa'!H55,'9 programa'!H60,'9 programa'!H65,'9 programa'!H67,'9 programa'!H116,'9 programa'!H140,'9 programa'!H162,'9 programa'!H178,'9 programa'!H186,'9 programa'!H117)</f>
        <v>1427.92</v>
      </c>
      <c r="C31" s="841">
        <f>SUM('9 programa'!I32,'9 programa'!I34,'9 programa'!I36,'9 programa'!I38,'9 programa'!I41,'9 programa'!I51,'9 programa'!I53,'9 programa'!I55,'9 programa'!I60,'9 programa'!I65,'9 programa'!I67,'9 programa'!I116,'9 programa'!I140,'9 programa'!I165,'9 programa'!I178,'9 programa'!I186)</f>
        <v>954.9</v>
      </c>
      <c r="D31" s="841">
        <f>SUM('9 programa'!J32,'9 programa'!J34,'9 programa'!J36,'9 programa'!J38,'9 programa'!J41,'9 programa'!J51,'9 programa'!J53,'9 programa'!J55,'9 programa'!J60,'9 programa'!J65,'9 programa'!J67,'9 programa'!J116,'9 programa'!J140,'9 programa'!J165,'9 programa'!J178,'9 programa'!J186)</f>
        <v>655.35</v>
      </c>
      <c r="E31" s="721"/>
      <c r="F31" s="910">
        <f>SUM('9 programa'!H23,'9 programa'!H29,'9 programa'!H42,'9 programa'!H72,'9 programa'!H83,'9 programa'!H89,'9 programa'!H121,'9 programa'!H122,'9 programa'!H127,'9 programa'!H128,'9 programa'!H158,'9 programa'!H163,)</f>
        <v>763.66800000000001</v>
      </c>
      <c r="G31" s="849">
        <f>SUM('9 programa'!I22,'9 programa'!I23,'9 programa'!I28,'9 programa'!I29,'9 programa'!I72,'9 programa'!I84,'9 programa'!I89,'9 programa'!I90,'9 programa'!I121,'9 programa'!I122,'9 programa'!I127,'9 programa'!I128,'9 programa'!I158,'9 programa'!I159,'9 programa'!I163,)</f>
        <v>353.96499999999997</v>
      </c>
      <c r="H31" s="849">
        <f>SUM('9 programa'!J22,'9 programa'!J23,'9 programa'!J28,'9 programa'!J29,'9 programa'!J72,'9 programa'!J84,'9 programa'!J89,'9 programa'!J90,'9 programa'!J121,'9 programa'!J122,'9 programa'!J127,'9 programa'!J128,'9 programa'!J158,'9 programa'!J159,'9 programa'!J163,)</f>
        <v>212.5</v>
      </c>
      <c r="I31" s="721"/>
      <c r="J31" s="858"/>
      <c r="K31" s="858"/>
      <c r="L31" s="858"/>
      <c r="M31" s="802"/>
      <c r="N31" s="856">
        <f>SUM('9 programa'!H71)</f>
        <v>25.212</v>
      </c>
      <c r="O31" s="856">
        <f>SUM('9 programa'!I71)</f>
        <v>0</v>
      </c>
      <c r="P31" s="856">
        <f>SUM('9 programa'!J71)</f>
        <v>0</v>
      </c>
      <c r="Q31" s="802"/>
      <c r="R31" s="862">
        <f>SUM('9 programa'!H39)</f>
        <v>89.81</v>
      </c>
      <c r="S31" s="862">
        <f>SUM('9 programa'!I39)</f>
        <v>89.81</v>
      </c>
      <c r="T31" s="862">
        <f>SUM('9 programa'!J39)</f>
        <v>89.81</v>
      </c>
      <c r="U31" s="721"/>
      <c r="V31" s="888">
        <f>SUM('9 programa'!H172)</f>
        <v>249.98</v>
      </c>
      <c r="W31" s="888">
        <f>SUM('9 programa'!I172)</f>
        <v>252.71</v>
      </c>
      <c r="X31" s="888">
        <f>SUM('9 programa'!J172)</f>
        <v>263.47000000000003</v>
      </c>
      <c r="Y31" s="795"/>
      <c r="Z31" s="894">
        <f>SUM('9 programa'!H173)</f>
        <v>145.30000000000001</v>
      </c>
      <c r="AA31" s="894">
        <f>SUM('9 programa'!I173)</f>
        <v>156.5</v>
      </c>
      <c r="AB31" s="894">
        <f>SUM('9 programa'!J173)</f>
        <v>168.6</v>
      </c>
      <c r="AC31" s="792">
        <f>SUM('9 programa'!K173)</f>
        <v>0</v>
      </c>
      <c r="AD31" s="823">
        <v>0</v>
      </c>
      <c r="AE31" s="721"/>
      <c r="AF31" s="793">
        <f>SUM('9 programa'!H20,'9 programa'!H26,'9 programa'!H119,'9 programa'!H125,'9 programa'!H156,'9 programa'!H157,)</f>
        <v>174.80269999999999</v>
      </c>
      <c r="AG31" s="793">
        <f>SUM('9 programa'!I20,'9 programa'!I26,'9 programa'!I119,'9 programa'!I125,'9 programa'!I156,'9 programa'!I157,)</f>
        <v>2814.8278399999999</v>
      </c>
      <c r="AH31" s="793">
        <f>SUM('9 programa'!J20,'9 programa'!J26,'9 programa'!J119,'9 programa'!J125,'9 programa'!J156,'9 programa'!J157,)</f>
        <v>1292.0999999999999</v>
      </c>
      <c r="AI31" s="795"/>
      <c r="AJ31" s="824"/>
      <c r="AK31" s="824"/>
      <c r="AL31" s="824"/>
      <c r="AM31" s="824"/>
      <c r="AN31" s="721"/>
      <c r="AO31" s="825">
        <f>SUM('9 programa'!H24,'9 programa'!H30,'9 programa'!H91,'9 programa'!H123,'9 programa'!H129,)</f>
        <v>0</v>
      </c>
      <c r="AP31" s="825">
        <f>SUM('9 programa'!I24,'9 programa'!I30,'9 programa'!I91,'9 programa'!I123,'9 programa'!I129,)</f>
        <v>202.745</v>
      </c>
      <c r="AQ31" s="825">
        <f>SUM('9 programa'!J24,'9 programa'!J30,'9 programa'!J91,'9 programa'!J123,'9 programa'!J129,)</f>
        <v>551.10699999999997</v>
      </c>
      <c r="AR31" s="802"/>
      <c r="AS31" s="794">
        <f>SUM('9 programa'!H87)</f>
        <v>0</v>
      </c>
      <c r="AT31" s="794">
        <f>SUM('9 programa'!I87)</f>
        <v>819.85799999999995</v>
      </c>
      <c r="AU31" s="794">
        <f>SUM('9 programa'!J87)</f>
        <v>1612.356</v>
      </c>
      <c r="AV31" s="794"/>
      <c r="AW31" s="787">
        <f>SUM(B31,F31,J31,N31,R31,V31,Z31,AF31,AJ31,AO31,AS31,)</f>
        <v>2876.6927000000005</v>
      </c>
      <c r="AX31" s="787">
        <f>SUM(C31,G31,K31,O31,S31,W31,AA31,AG31,AK31,AP31,AT31,)</f>
        <v>5645.3158400000002</v>
      </c>
      <c r="AY31" s="787">
        <f>SUM(D31,H31,L31,P31,T31,X31,AB31,AH31,AL31,AQ31,AU31,)</f>
        <v>4845.2929999999997</v>
      </c>
      <c r="AZ31" s="113">
        <f>SUM(AW31-'9 programa'!H199)</f>
        <v>4.5474735088646412E-13</v>
      </c>
      <c r="BA31" s="113">
        <f>SUM(AX31-'9 programa'!I199)</f>
        <v>-9.1199999999998909</v>
      </c>
      <c r="BB31" s="113">
        <f>SUM(AY31-'9 programa'!J199)</f>
        <v>-9.1200000000008004</v>
      </c>
      <c r="BC31" s="113"/>
      <c r="BD31" s="84">
        <v>10</v>
      </c>
      <c r="BE31" s="802">
        <f>SUM('10 programa'!K71,'10 programa'!K109,'10 programa'!K168,'10 programa'!K218,'10 programa'!K237,'10 programa'!K248,)</f>
        <v>2212.44</v>
      </c>
      <c r="BF31" s="802">
        <f>SUM('10 programa'!L71,'10 programa'!L168,'10 programa'!L218,'10 programa'!L248)</f>
        <v>918.5200000000001</v>
      </c>
      <c r="BG31" s="802">
        <f>SUM('10 programa'!M71,'10 programa'!M168,'10 programa'!M218,'10 programa'!M248)</f>
        <v>0</v>
      </c>
    </row>
    <row r="32" spans="1:61" s="84" customFormat="1">
      <c r="A32" s="802" t="s">
        <v>3987</v>
      </c>
      <c r="B32" s="841">
        <v>1427.92</v>
      </c>
      <c r="C32" s="841">
        <v>954.9</v>
      </c>
      <c r="D32" s="841">
        <v>655.35</v>
      </c>
      <c r="E32" s="721"/>
      <c r="F32" s="849">
        <v>763.66700000000003</v>
      </c>
      <c r="G32" s="849">
        <v>565.83000000000004</v>
      </c>
      <c r="H32" s="849">
        <v>772.726</v>
      </c>
      <c r="I32" s="721"/>
      <c r="J32" s="858"/>
      <c r="K32" s="858"/>
      <c r="L32" s="858"/>
      <c r="M32" s="802"/>
      <c r="N32" s="826"/>
      <c r="O32" s="826"/>
      <c r="P32" s="826"/>
      <c r="Q32" s="875"/>
      <c r="R32" s="796"/>
      <c r="S32" s="796"/>
      <c r="T32" s="796"/>
      <c r="U32" s="794"/>
      <c r="V32" s="888"/>
      <c r="W32" s="888"/>
      <c r="X32" s="888"/>
      <c r="Y32" s="795"/>
      <c r="Z32" s="792"/>
      <c r="AA32" s="792"/>
      <c r="AB32" s="792"/>
      <c r="AC32" s="792"/>
      <c r="AD32" s="823"/>
      <c r="AE32" s="721"/>
      <c r="AF32" s="793"/>
      <c r="AG32" s="793"/>
      <c r="AH32" s="793"/>
      <c r="AI32" s="795"/>
      <c r="AJ32" s="824"/>
      <c r="AK32" s="824"/>
      <c r="AL32" s="824"/>
      <c r="AM32" s="824"/>
      <c r="AN32" s="721"/>
      <c r="AO32" s="825"/>
      <c r="AP32" s="825"/>
      <c r="AQ32" s="825"/>
      <c r="AR32" s="802"/>
      <c r="AS32" s="794"/>
      <c r="AT32" s="794"/>
      <c r="AU32" s="794"/>
      <c r="AV32" s="794"/>
      <c r="AW32" s="787"/>
      <c r="AX32" s="787"/>
      <c r="AY32" s="787"/>
      <c r="AZ32" s="113"/>
      <c r="BA32" s="113"/>
      <c r="BB32" s="113"/>
      <c r="BC32" s="113"/>
      <c r="BE32" s="802"/>
      <c r="BF32" s="802"/>
      <c r="BG32" s="802"/>
    </row>
    <row r="33" spans="1:59" s="84" customFormat="1">
      <c r="A33" s="835" t="s">
        <v>3956</v>
      </c>
      <c r="B33" s="840">
        <f>B31-B32</f>
        <v>0</v>
      </c>
      <c r="C33" s="840">
        <f t="shared" ref="C33:D33" si="7">C31-C32</f>
        <v>0</v>
      </c>
      <c r="D33" s="840">
        <f t="shared" si="7"/>
        <v>0</v>
      </c>
      <c r="E33" s="721"/>
      <c r="F33" s="840">
        <f>F31-F32</f>
        <v>9.9999999997635314E-4</v>
      </c>
      <c r="G33" s="840">
        <f t="shared" ref="G33:H33" si="8">G31-G32</f>
        <v>-211.86500000000007</v>
      </c>
      <c r="H33" s="840">
        <f t="shared" si="8"/>
        <v>-560.226</v>
      </c>
      <c r="I33" s="721"/>
      <c r="J33" s="858"/>
      <c r="K33" s="858"/>
      <c r="L33" s="858"/>
      <c r="M33" s="802"/>
      <c r="N33" s="917"/>
      <c r="O33" s="826"/>
      <c r="P33" s="826"/>
      <c r="Q33" s="875"/>
      <c r="R33" s="796"/>
      <c r="S33" s="796"/>
      <c r="T33" s="796"/>
      <c r="U33" s="794"/>
      <c r="V33" s="888"/>
      <c r="W33" s="888"/>
      <c r="X33" s="888"/>
      <c r="Y33" s="795"/>
      <c r="Z33" s="792"/>
      <c r="AA33" s="792"/>
      <c r="AB33" s="792"/>
      <c r="AC33" s="792"/>
      <c r="AD33" s="823"/>
      <c r="AE33" s="721"/>
      <c r="AF33" s="793"/>
      <c r="AG33" s="793"/>
      <c r="AH33" s="793"/>
      <c r="AI33" s="795"/>
      <c r="AJ33" s="824"/>
      <c r="AK33" s="824"/>
      <c r="AL33" s="824"/>
      <c r="AM33" s="824"/>
      <c r="AN33" s="721"/>
      <c r="AO33" s="825"/>
      <c r="AP33" s="825"/>
      <c r="AQ33" s="825"/>
      <c r="AR33" s="802"/>
      <c r="AS33" s="794"/>
      <c r="AT33" s="794"/>
      <c r="AU33" s="794"/>
      <c r="AV33" s="794"/>
      <c r="AW33" s="787"/>
      <c r="AX33" s="787"/>
      <c r="AY33" s="787"/>
      <c r="AZ33" s="113"/>
      <c r="BA33" s="113"/>
      <c r="BB33" s="113"/>
      <c r="BC33" s="113"/>
      <c r="BD33" s="84" t="s">
        <v>2818</v>
      </c>
      <c r="BE33" s="907">
        <f>SUM(BE22:BE31)</f>
        <v>3999.3199999999997</v>
      </c>
      <c r="BF33" s="907">
        <f t="shared" ref="BF33:BG33" si="9">SUM(BF22:BF31)</f>
        <v>918.5200000000001</v>
      </c>
      <c r="BG33" s="907">
        <f t="shared" si="9"/>
        <v>0</v>
      </c>
    </row>
    <row r="34" spans="1:59">
      <c r="A34" s="162" t="s">
        <v>3988</v>
      </c>
      <c r="B34" s="841">
        <f>SUM('10 programa'!K25,'10 programa'!K68,'10 programa'!K71,'10 programa'!K77,'10 programa'!K87,'10 programa'!K89,'10 programa'!K95,'10 programa'!K109,'10 programa'!K110,'10 programa'!K130,'10 programa'!K135,'10 programa'!K147,'10 programa'!K168,'10 programa'!K167,'10 programa'!K191,'10 programa'!K197,'10 programa'!K207,'10 programa'!K217,'10 programa'!K218,'10 programa'!K224,'10 programa'!K228,'10 programa'!K233,'10 programa'!K237,'10 programa'!K238,'10 programa'!K242,'10 programa'!K245,'10 programa'!K248,'10 programa'!K249,'10 programa'!K253,'10 programa'!K254,)</f>
        <v>4507.34</v>
      </c>
      <c r="C34" s="841">
        <f>SUM('10 programa'!L25,'10 programa'!L68,'10 programa'!L71,'10 programa'!L77,'10 programa'!L87,'10 programa'!L89,'10 programa'!L95,'10 programa'!L109,'10 programa'!L110,'10 programa'!L130,'10 programa'!L135,'10 programa'!L147,'10 programa'!L168,'10 programa'!L167,'10 programa'!L191,'10 programa'!L197,'10 programa'!L207,'10 programa'!L217,'10 programa'!L218,'10 programa'!L224,'10 programa'!L228,'10 programa'!L233,'10 programa'!L237,'10 programa'!L238,'10 programa'!L242,'10 programa'!L245,'10 programa'!L248,'10 programa'!L249,'10 programa'!L253,'10 programa'!L254,)</f>
        <v>3944.0590000000002</v>
      </c>
      <c r="D34" s="841">
        <f>SUM('10 programa'!M25,'10 programa'!M68,'10 programa'!M71,'10 programa'!M77,'10 programa'!M87,'10 programa'!M89,'10 programa'!M95,'10 programa'!M109,'10 programa'!M110,'10 programa'!M130,'10 programa'!M135,'10 programa'!M147,'10 programa'!M168,'10 programa'!M167,'10 programa'!M191,'10 programa'!M197,'10 programa'!M207,'10 programa'!M217,'10 programa'!M218,'10 programa'!M224,'10 programa'!M228,'10 programa'!M233,'10 programa'!M237,'10 programa'!M238,'10 programa'!M242,'10 programa'!M245,'10 programa'!M248,'10 programa'!M249,'10 programa'!M253,'10 programa'!M254,)</f>
        <v>4362.32</v>
      </c>
      <c r="E34" s="721"/>
      <c r="F34" s="899">
        <f>SUM('10 programa'!K46,'10 programa'!K52,'10 programa'!K58)</f>
        <v>263.68799999999999</v>
      </c>
      <c r="G34" s="850">
        <f>SUM('10 programa'!L46,'10 programa'!L47,'10 programa'!L52,'10 programa'!L53,'10 programa'!L58,'10 programa'!L59,'10 programa'!L254)</f>
        <v>20.75</v>
      </c>
      <c r="H34" s="850">
        <f>SUM('10 programa'!M46,'10 programa'!M47,'10 programa'!M52,'10 programa'!M53,'10 programa'!M58,'10 programa'!M59,'10 programa'!M254)</f>
        <v>0</v>
      </c>
      <c r="I34" s="802"/>
      <c r="J34" s="858"/>
      <c r="K34" s="858"/>
      <c r="L34" s="858"/>
      <c r="M34" s="802"/>
      <c r="N34" s="854">
        <f>SUM('10 programa'!K38,'10 programa'!K69,'10 programa'!K252)</f>
        <v>1389.7</v>
      </c>
      <c r="O34" s="854">
        <f>SUM('10 programa'!L38,'10 programa'!L69)</f>
        <v>1121.7</v>
      </c>
      <c r="P34" s="854">
        <f>SUM('10 programa'!M38,'10 programa'!M69)</f>
        <v>1121.7</v>
      </c>
      <c r="Q34" s="721"/>
      <c r="R34" s="779"/>
      <c r="S34" s="779"/>
      <c r="T34" s="779"/>
      <c r="U34" s="162"/>
      <c r="V34" s="888">
        <f>SUM('10 programa'!K37,'10 programa'!K43,'10 programa'!K215,)</f>
        <v>478.74</v>
      </c>
      <c r="W34" s="888">
        <f>SUM('10 programa'!L37,'10 programa'!L43,'10 programa'!L215,)</f>
        <v>458.67099999999999</v>
      </c>
      <c r="X34" s="888">
        <f>SUM('10 programa'!M37,'10 programa'!M43,'10 programa'!M215,)</f>
        <v>477.34000000000003</v>
      </c>
      <c r="Y34" s="795"/>
      <c r="Z34" s="733">
        <f>SUM('10 programa'!K260)</f>
        <v>3.3</v>
      </c>
      <c r="AA34" s="733">
        <f>SUM('10 programa'!L260)</f>
        <v>0</v>
      </c>
      <c r="AB34" s="733">
        <f>SUM('10 programa'!M260)</f>
        <v>0</v>
      </c>
      <c r="AC34" s="733">
        <f>SUM('10 programa'!N260)</f>
        <v>0</v>
      </c>
      <c r="AD34" s="733"/>
      <c r="AE34" s="868"/>
      <c r="AF34" s="793">
        <f>SUM('10 programa'!K48,'10 programa'!K54,'10 programa'!K60,)</f>
        <v>2285.328</v>
      </c>
      <c r="AG34" s="793">
        <f>SUM('10 programa'!L48,'10 programa'!L54,'10 programa'!L60,)</f>
        <v>2743.9560000000001</v>
      </c>
      <c r="AH34" s="793">
        <f>SUM('10 programa'!M48,'10 programa'!M54,'10 programa'!M60,)</f>
        <v>2293.9850000000001</v>
      </c>
      <c r="AI34" s="795"/>
      <c r="AJ34" s="782"/>
      <c r="AK34" s="782"/>
      <c r="AL34" s="782"/>
      <c r="AM34" s="782"/>
      <c r="AN34" s="868"/>
      <c r="AO34" s="825">
        <f>SUM('10 programa'!K56,'10 programa'!K62,'10 programa'!K50)</f>
        <v>0</v>
      </c>
      <c r="AP34" s="825">
        <f>SUM('10 programa'!L56,'10 programa'!L62,'10 programa'!L50)</f>
        <v>387.04399999999998</v>
      </c>
      <c r="AQ34" s="825">
        <f>SUM('10 programa'!M56,'10 programa'!M62,'10 programa'!M50)</f>
        <v>386.108</v>
      </c>
      <c r="AR34" s="162"/>
      <c r="AS34" s="162"/>
      <c r="AT34" s="162"/>
      <c r="AU34" s="162"/>
      <c r="AV34" s="162"/>
      <c r="AW34" s="787">
        <f>SUM(B34,F34,N34,R34,V34,Z34,AF34,)</f>
        <v>8928.0959999999995</v>
      </c>
      <c r="AX34" s="787">
        <f>SUM(C34,G34,O34,S34,W34,AA34,AG34,)</f>
        <v>8289.1360000000004</v>
      </c>
      <c r="AY34" s="787">
        <f>SUM(D34,H34,P34,T34,X34,AB34,AH34,)</f>
        <v>8255.3449999999993</v>
      </c>
      <c r="AZ34" s="150">
        <f>SUM(AW34-'10 programa'!K265)</f>
        <v>-1.8189894035458565E-12</v>
      </c>
      <c r="BA34" s="150">
        <f>SUM(AX34-'10 programa'!L265)</f>
        <v>-387.04399999999987</v>
      </c>
      <c r="BB34" s="150">
        <f>SUM(AY34-'10 programa'!M265)</f>
        <v>-386.10800000000017</v>
      </c>
      <c r="BC34" s="150"/>
      <c r="BE34" s="162"/>
      <c r="BF34" s="162"/>
      <c r="BG34" s="162"/>
    </row>
    <row r="35" spans="1:59">
      <c r="A35" s="162" t="s">
        <v>3989</v>
      </c>
      <c r="B35" s="841">
        <v>4507.34</v>
      </c>
      <c r="C35" s="841">
        <v>3868.06</v>
      </c>
      <c r="D35" s="841">
        <v>4286.32</v>
      </c>
      <c r="E35" s="721"/>
      <c r="F35" s="850">
        <v>263.68799999999999</v>
      </c>
      <c r="G35" s="850">
        <v>407.79399999999998</v>
      </c>
      <c r="H35" s="850">
        <v>386.108</v>
      </c>
      <c r="I35" s="802"/>
      <c r="J35" s="858"/>
      <c r="K35" s="858"/>
      <c r="L35" s="858"/>
      <c r="M35" s="802"/>
      <c r="N35" s="791"/>
      <c r="O35" s="791"/>
      <c r="P35" s="791"/>
      <c r="Q35" s="795"/>
      <c r="R35" s="779"/>
      <c r="S35" s="779"/>
      <c r="T35" s="779"/>
      <c r="U35" s="162"/>
      <c r="V35" s="888"/>
      <c r="W35" s="888"/>
      <c r="X35" s="888"/>
      <c r="Y35" s="795"/>
      <c r="Z35" s="733"/>
      <c r="AA35" s="733"/>
      <c r="AB35" s="733"/>
      <c r="AC35" s="893"/>
      <c r="AD35" s="733"/>
      <c r="AE35" s="868"/>
      <c r="AF35" s="793"/>
      <c r="AG35" s="793"/>
      <c r="AH35" s="793"/>
      <c r="AI35" s="795"/>
      <c r="AJ35" s="782"/>
      <c r="AK35" s="782"/>
      <c r="AL35" s="782"/>
      <c r="AM35" s="782"/>
      <c r="AN35" s="868"/>
      <c r="AO35" s="825"/>
      <c r="AP35" s="825"/>
      <c r="AQ35" s="825"/>
      <c r="AR35" s="162"/>
      <c r="AS35" s="162"/>
      <c r="AT35" s="162"/>
      <c r="AU35" s="162"/>
      <c r="AV35" s="162"/>
      <c r="AW35" s="787"/>
      <c r="AX35" s="787"/>
      <c r="AY35" s="787"/>
      <c r="AZ35" s="150"/>
      <c r="BA35" s="150"/>
      <c r="BB35" s="150"/>
      <c r="BC35" s="150"/>
      <c r="BE35" s="162"/>
      <c r="BF35" s="162"/>
      <c r="BG35" s="162"/>
    </row>
    <row r="36" spans="1:59">
      <c r="A36" s="835" t="s">
        <v>3956</v>
      </c>
      <c r="B36" s="840">
        <f>B34-B35</f>
        <v>0</v>
      </c>
      <c r="C36" s="840">
        <f t="shared" ref="C36:D36" si="10">C34-C35</f>
        <v>75.999000000000251</v>
      </c>
      <c r="D36" s="840">
        <f t="shared" si="10"/>
        <v>76</v>
      </c>
      <c r="E36" s="721"/>
      <c r="F36" s="839">
        <f>F34-F35</f>
        <v>0</v>
      </c>
      <c r="G36" s="839">
        <f>G34-G35</f>
        <v>-387.04399999999998</v>
      </c>
      <c r="H36" s="839">
        <f>H34-H35</f>
        <v>-386.108</v>
      </c>
      <c r="I36" s="868"/>
      <c r="J36" s="858"/>
      <c r="K36" s="858"/>
      <c r="L36" s="858"/>
      <c r="M36" s="802"/>
      <c r="N36" s="773"/>
      <c r="O36" s="773"/>
      <c r="P36" s="773"/>
      <c r="Q36" s="162"/>
      <c r="R36" s="779"/>
      <c r="S36" s="779"/>
      <c r="T36" s="779"/>
      <c r="U36" s="162"/>
      <c r="V36" s="887"/>
      <c r="W36" s="887"/>
      <c r="X36" s="887"/>
      <c r="Y36" s="162"/>
      <c r="Z36" s="734"/>
      <c r="AA36" s="734"/>
      <c r="AB36" s="734"/>
      <c r="AC36" s="734"/>
      <c r="AD36" s="734"/>
      <c r="AE36" s="162"/>
      <c r="AF36" s="776"/>
      <c r="AG36" s="776"/>
      <c r="AH36" s="776"/>
      <c r="AI36" s="162"/>
      <c r="AJ36" s="784"/>
      <c r="AK36" s="784"/>
      <c r="AL36" s="784"/>
      <c r="AM36" s="784"/>
      <c r="AN36" s="162"/>
      <c r="AO36" s="825"/>
      <c r="AP36" s="825"/>
      <c r="AQ36" s="825"/>
      <c r="AR36" s="162"/>
      <c r="AS36" s="162"/>
      <c r="AT36" s="162"/>
      <c r="AU36" s="162"/>
      <c r="AV36" s="162"/>
      <c r="AW36" s="788"/>
      <c r="AX36" s="788"/>
      <c r="AY36" s="787"/>
    </row>
    <row r="37" spans="1:59">
      <c r="Z37" s="150"/>
      <c r="AA37" s="150"/>
      <c r="AB37" s="150"/>
      <c r="AC37" s="150"/>
      <c r="AD37" s="150"/>
      <c r="AE37" s="150"/>
      <c r="AF37" s="150"/>
      <c r="AG37" s="150"/>
      <c r="AH37" s="150"/>
      <c r="AI37" s="150"/>
      <c r="AJ37" s="150"/>
      <c r="AK37" s="150"/>
      <c r="AL37" s="150"/>
      <c r="AM37" s="150"/>
      <c r="AN37" s="150"/>
      <c r="BD37" t="s">
        <v>4027</v>
      </c>
      <c r="BE37" s="150">
        <f>BE18+BE33</f>
        <v>7697.5499999999993</v>
      </c>
      <c r="BF37" s="150">
        <f t="shared" ref="BF37:BG37" si="11">BF18+BF33</f>
        <v>918.5200000000001</v>
      </c>
      <c r="BG37" s="150">
        <f t="shared" si="11"/>
        <v>0</v>
      </c>
    </row>
    <row r="38" spans="1:59">
      <c r="A38" s="842" t="s">
        <v>3990</v>
      </c>
      <c r="B38" s="834">
        <f>SUM(B7,B10,B13,B16,B19,B22,B25,B28,B31,B34,)</f>
        <v>12932.320000000002</v>
      </c>
      <c r="C38" s="834">
        <f>SUM(C7,C10,C13,C16,C19,C22,C25,C28,C31,C34,)</f>
        <v>11805.419</v>
      </c>
      <c r="D38" s="834">
        <f>SUM(D7,D10,D13,D16,D19,D22,D25,D28,D31,D34,)</f>
        <v>11510.420999999998</v>
      </c>
      <c r="E38" s="747" t="s">
        <v>3992</v>
      </c>
      <c r="F38" s="866">
        <f>SUM(F7,F10,F13,F16,F19,F22,F25,F28,F31,F34,)</f>
        <v>3758.23</v>
      </c>
      <c r="G38" s="866">
        <f t="shared" ref="G38:H38" si="12">SUM(G7,G10,G13,G16,G19,G22,G25,G28,G31,G34,)</f>
        <v>785.94800000000009</v>
      </c>
      <c r="H38" s="866">
        <f t="shared" si="12"/>
        <v>446.81500000000005</v>
      </c>
      <c r="I38" s="869"/>
      <c r="J38" s="864">
        <f>J10+J13</f>
        <v>10540</v>
      </c>
      <c r="K38" s="857">
        <f>K10+K13</f>
        <v>11187</v>
      </c>
      <c r="L38" s="857">
        <f>L10+L13</f>
        <v>11807.000000000002</v>
      </c>
      <c r="M38" s="721"/>
      <c r="N38" s="863">
        <f>N7+N10+N16+N19+N22+N31+N34</f>
        <v>2400.7350000000001</v>
      </c>
      <c r="O38" s="863">
        <f>O7+O10+O16+O19+O22+O31+O34</f>
        <v>2133.6619999999998</v>
      </c>
      <c r="P38" s="863">
        <f>P7+P10+P16+P19+P22+P31+P34</f>
        <v>2133.6619999999998</v>
      </c>
      <c r="Q38" s="868"/>
      <c r="R38" s="780">
        <f>SUM(R7,R10,R22,R25,R31)</f>
        <v>2657.3269999999998</v>
      </c>
      <c r="S38" s="780">
        <f>SUM(S7,S10,S22,S25,S31)</f>
        <v>2661.0269999999996</v>
      </c>
      <c r="T38" s="780">
        <f>SUM(T7,T10,T22,T25,T31)</f>
        <v>2664.7269999999999</v>
      </c>
      <c r="U38" s="150"/>
      <c r="V38" s="889">
        <f>SUM(V7,V10,V13,V16,V19,V22,V25,V28,V31,V34,)</f>
        <v>20196.400000000001</v>
      </c>
      <c r="W38" s="889">
        <f>SUM(W7,W10,W13,W16,W19,W22,W25,W28,W31,W34,)</f>
        <v>20121.500999999997</v>
      </c>
      <c r="X38" s="889">
        <f>SUM(X7,X10,X13,X16,X19,X22,X25,X28,X31,X34,)</f>
        <v>20926.298999999999</v>
      </c>
      <c r="Z38" s="733">
        <f>SUM(Z7,Z10,Z13,Z16,Z19,Z22,Z31,Z34)</f>
        <v>1692</v>
      </c>
      <c r="AA38" s="733">
        <f>SUM(AA7,AA10,AA13,AA16,AA19,AA22,AA31,AA34)</f>
        <v>1795.5000000000002</v>
      </c>
      <c r="AB38" s="733">
        <f>SUM(AB7,AB10,AB13,AB16,AB19,AB22,AB31,AB34)</f>
        <v>1905.9999999999998</v>
      </c>
      <c r="AC38" s="733">
        <f>SUM(AC7,AC10,AC13,AC16,AC19,AC22,AC31)</f>
        <v>44.855000000000004</v>
      </c>
      <c r="AD38" s="733">
        <f>Z38+AC38</f>
        <v>1736.855</v>
      </c>
      <c r="AF38" s="150">
        <f>SUM(AF7,AF10,AF13,AF19,AF22,AF25,AF28,AF31,AF34,)</f>
        <v>9676.6394319999999</v>
      </c>
      <c r="AG38" s="150">
        <f t="shared" ref="AG38:AH38" si="13">SUM(AG7,AG10,AG13,AG19,AG22,AG25,AG28,AG31,AG34,)</f>
        <v>10498.469840000002</v>
      </c>
      <c r="AH38" s="150">
        <f t="shared" si="13"/>
        <v>4975.5975980000003</v>
      </c>
      <c r="AJ38" s="782">
        <f>SUM(AJ25,AJ28)</f>
        <v>128.327</v>
      </c>
      <c r="AK38" s="782">
        <f>SUM(AK25,AK28)</f>
        <v>56</v>
      </c>
      <c r="AL38" s="782">
        <f t="shared" ref="AL38" si="14">SUM(AL25,AL28)</f>
        <v>56</v>
      </c>
      <c r="AM38" s="782">
        <f>SUM(AM25,AM28)</f>
        <v>66.326999999999998</v>
      </c>
      <c r="AN38" s="150"/>
      <c r="AO38" s="813">
        <f>SUM(AO7,AO10,AO13,AO16,AO19,AO22,AO25,AO28,AO31,AO34,)</f>
        <v>26.21</v>
      </c>
      <c r="AP38" s="813">
        <f>SUM(AP7,AP10,AP13,AP16,AP19,AP22,AP25,AP28,AP31,AP34,)</f>
        <v>1306.9699999999998</v>
      </c>
      <c r="AQ38" s="813">
        <f>SUM(AQ7,AQ10,AQ13,AQ16,AQ19,AQ22,AQ25,AQ28,AQ31,AQ34,)</f>
        <v>1320.1</v>
      </c>
    </row>
    <row r="39" spans="1:59">
      <c r="A39" s="842" t="s">
        <v>3991</v>
      </c>
      <c r="B39" s="834">
        <v>12932.32</v>
      </c>
      <c r="C39" s="834">
        <v>11805.42</v>
      </c>
      <c r="D39" s="834">
        <v>11510.42</v>
      </c>
      <c r="E39" s="747" t="s">
        <v>3993</v>
      </c>
      <c r="F39" s="847">
        <v>3784.44</v>
      </c>
      <c r="G39" s="847">
        <v>2102.0369999999998</v>
      </c>
      <c r="H39" s="847">
        <v>1483.434</v>
      </c>
      <c r="I39" s="870"/>
      <c r="J39" s="864">
        <v>10540</v>
      </c>
      <c r="K39" s="857">
        <v>11187</v>
      </c>
      <c r="L39" s="857">
        <v>11807</v>
      </c>
      <c r="M39" s="802"/>
      <c r="N39" s="773">
        <v>2400.7350000000001</v>
      </c>
      <c r="O39" s="773"/>
      <c r="P39" s="773"/>
      <c r="Q39" s="162"/>
      <c r="R39" s="779">
        <v>2617.127</v>
      </c>
      <c r="S39" s="779"/>
      <c r="T39" s="779"/>
      <c r="V39" s="889">
        <v>20196</v>
      </c>
      <c r="W39" s="889">
        <v>20121.5</v>
      </c>
      <c r="X39" s="889">
        <v>20926.3</v>
      </c>
      <c r="Z39" s="733"/>
      <c r="AA39" s="734"/>
      <c r="AB39" s="734"/>
      <c r="AC39" s="734"/>
      <c r="AD39" s="733"/>
      <c r="AJ39" s="784"/>
      <c r="AK39" s="784"/>
      <c r="AL39" s="784"/>
      <c r="AM39" s="784"/>
      <c r="AO39" s="813">
        <v>26.21</v>
      </c>
      <c r="AP39" s="813">
        <v>1306.97</v>
      </c>
      <c r="AQ39" s="813">
        <v>1320.1</v>
      </c>
      <c r="BE39" s="150">
        <v>7207.55</v>
      </c>
    </row>
    <row r="40" spans="1:59">
      <c r="A40" s="843" t="s">
        <v>3956</v>
      </c>
      <c r="B40" s="836">
        <f>B38-B39</f>
        <v>0</v>
      </c>
      <c r="C40" s="836">
        <f t="shared" ref="C40:D40" si="15">C38-C39</f>
        <v>-1.0000000002037268E-3</v>
      </c>
      <c r="D40" s="836">
        <f t="shared" si="15"/>
        <v>9.9999999838473741E-4</v>
      </c>
      <c r="E40" s="747" t="s">
        <v>3956</v>
      </c>
      <c r="F40" s="832">
        <f>F38-F39</f>
        <v>-26.210000000000036</v>
      </c>
      <c r="G40" s="832">
        <f>G38-G39</f>
        <v>-1316.0889999999997</v>
      </c>
      <c r="H40" s="832">
        <f t="shared" ref="H40" si="16">H38-H39</f>
        <v>-1036.6189999999999</v>
      </c>
      <c r="I40" s="914"/>
      <c r="J40" s="865">
        <f>J38-J39</f>
        <v>0</v>
      </c>
      <c r="K40" s="865">
        <f t="shared" ref="K40:L40" si="17">K38-K39</f>
        <v>0</v>
      </c>
      <c r="L40" s="865">
        <f t="shared" si="17"/>
        <v>0</v>
      </c>
      <c r="M40" s="872"/>
      <c r="N40" s="853">
        <f>N38-N39</f>
        <v>0</v>
      </c>
      <c r="O40" s="855"/>
      <c r="P40" s="855"/>
      <c r="Q40" s="872"/>
      <c r="R40" s="861">
        <f>R38-R39</f>
        <v>40.199999999999818</v>
      </c>
      <c r="S40" s="859"/>
      <c r="T40" s="859"/>
      <c r="U40" s="748"/>
      <c r="V40" s="889">
        <f>SUM(V38-V39)</f>
        <v>0.40000000000145519</v>
      </c>
      <c r="W40" s="890">
        <f t="shared" ref="W40:X40" si="18">SUM(W38-W39)</f>
        <v>9.9999999656574801E-4</v>
      </c>
      <c r="X40" s="889">
        <f t="shared" si="18"/>
        <v>-1.0000000002037268E-3</v>
      </c>
      <c r="Z40" s="900"/>
      <c r="AA40" s="892"/>
      <c r="AB40" s="892"/>
      <c r="AC40" s="892"/>
      <c r="AD40" s="734"/>
      <c r="AJ40" s="784"/>
      <c r="AK40" s="784"/>
      <c r="AL40" s="784"/>
      <c r="AM40" s="784"/>
      <c r="AO40" s="813">
        <f>SUM(AO38-AO39)</f>
        <v>0</v>
      </c>
      <c r="AP40" s="813">
        <f t="shared" ref="AP40:AQ40" si="19">SUM(AP38-AP39)</f>
        <v>-2.2737367544323206E-13</v>
      </c>
      <c r="AQ40" s="813">
        <f t="shared" si="19"/>
        <v>0</v>
      </c>
    </row>
    <row r="41" spans="1:59">
      <c r="F41" s="747"/>
      <c r="AJ41" s="784"/>
      <c r="AK41" s="784"/>
      <c r="AL41" s="784"/>
      <c r="AM41" s="784"/>
      <c r="BE41" s="909">
        <f>BE37-7207.55</f>
        <v>489.99999999999909</v>
      </c>
    </row>
    <row r="42" spans="1:59">
      <c r="F42" s="150"/>
      <c r="J42" s="150"/>
      <c r="S42" s="150">
        <f>J38+N38+R38</f>
        <v>15598.062</v>
      </c>
      <c r="BC42" s="150"/>
    </row>
    <row r="43" spans="1:59">
      <c r="F43" s="150"/>
      <c r="G43" s="150"/>
      <c r="BE43" s="150">
        <v>490</v>
      </c>
    </row>
    <row r="44" spans="1:59">
      <c r="J44" s="150"/>
      <c r="K44" s="150"/>
      <c r="O44" s="918" t="s">
        <v>4054</v>
      </c>
      <c r="P44" s="919">
        <f>SUM(J38+R40+R39)</f>
        <v>13197.327000000001</v>
      </c>
    </row>
    <row r="45" spans="1:59">
      <c r="F45" s="150"/>
      <c r="L45" s="150">
        <f>B38+F38+J38+N38+R38+V38+Z38+AJ38+AO38+AF38</f>
        <v>64008.188431999995</v>
      </c>
      <c r="O45" s="918" t="s">
        <v>4055</v>
      </c>
      <c r="P45" s="919">
        <f>N38</f>
        <v>2400.7350000000001</v>
      </c>
      <c r="BE45" s="161">
        <f>BE43-BE41</f>
        <v>9.0949470177292824E-13</v>
      </c>
    </row>
    <row r="46" spans="1:59">
      <c r="F46" s="150"/>
      <c r="J46" s="150"/>
      <c r="L46">
        <v>56999.932999999997</v>
      </c>
      <c r="O46" s="918" t="s">
        <v>4056</v>
      </c>
      <c r="P46" s="919">
        <f>AJ38</f>
        <v>128.327</v>
      </c>
    </row>
    <row r="47" spans="1:59">
      <c r="O47" s="918" t="s">
        <v>4057</v>
      </c>
      <c r="P47" s="919">
        <f>AO38</f>
        <v>26.21</v>
      </c>
      <c r="BE47" s="150"/>
    </row>
    <row r="48" spans="1:59">
      <c r="B48" s="746"/>
      <c r="C48" s="746"/>
      <c r="D48" s="746"/>
      <c r="E48" s="746"/>
      <c r="F48" s="747"/>
      <c r="G48" s="747"/>
      <c r="H48" s="747"/>
      <c r="I48" s="747"/>
      <c r="J48" s="150"/>
      <c r="K48" s="150" t="s">
        <v>4052</v>
      </c>
      <c r="L48" s="150">
        <f>L46-L45</f>
        <v>-7008.2554319999981</v>
      </c>
      <c r="M48" s="150"/>
      <c r="N48" s="150"/>
      <c r="O48" s="919" t="s">
        <v>4058</v>
      </c>
      <c r="P48" s="919">
        <v>1736.855</v>
      </c>
      <c r="Q48" s="150"/>
      <c r="R48" s="150"/>
      <c r="S48" s="150"/>
      <c r="T48" s="150"/>
      <c r="U48" s="150"/>
      <c r="Z48" s="151"/>
      <c r="AA48" s="151"/>
      <c r="AB48" s="151"/>
      <c r="AC48" s="151"/>
      <c r="AD48" s="151"/>
      <c r="AE48" s="151"/>
      <c r="AF48" s="151"/>
      <c r="AG48" s="151"/>
      <c r="AH48" s="151"/>
      <c r="AI48" s="151"/>
      <c r="AJ48" s="151"/>
      <c r="AK48" s="151"/>
      <c r="AL48" s="151"/>
      <c r="AM48" s="151"/>
      <c r="AN48" s="151"/>
      <c r="AO48" s="150"/>
      <c r="AP48" s="150"/>
      <c r="AQ48" s="150"/>
      <c r="AR48" s="150"/>
      <c r="BE48" s="150"/>
    </row>
    <row r="49" spans="1:59" ht="25.5" customHeight="1">
      <c r="A49" s="162" t="s">
        <v>3859</v>
      </c>
      <c r="B49" s="163">
        <v>2025</v>
      </c>
      <c r="C49" s="163">
        <v>2026</v>
      </c>
      <c r="D49" s="163">
        <v>2027</v>
      </c>
      <c r="E49" s="799"/>
      <c r="F49" s="747"/>
      <c r="G49" s="747"/>
      <c r="H49" s="747"/>
      <c r="I49" s="747"/>
      <c r="O49" s="918" t="s">
        <v>4059</v>
      </c>
      <c r="P49" s="919">
        <f>B38+F38+V38</f>
        <v>36886.950000000004</v>
      </c>
      <c r="R49">
        <v>36396.550000000003</v>
      </c>
      <c r="S49" s="150">
        <f>P49-R49</f>
        <v>490.40000000000146</v>
      </c>
      <c r="T49" s="150">
        <v>490</v>
      </c>
      <c r="U49" s="822">
        <f>T49-S49</f>
        <v>-0.40000000000145519</v>
      </c>
      <c r="V49" s="150"/>
      <c r="W49" s="150"/>
      <c r="X49" s="150"/>
      <c r="Y49" s="150"/>
      <c r="Z49" s="151"/>
      <c r="AA49" s="151"/>
      <c r="AB49" s="151"/>
      <c r="AC49" s="151"/>
      <c r="AD49" s="151"/>
      <c r="AE49" s="151"/>
      <c r="AF49" s="151"/>
      <c r="AG49" s="151"/>
      <c r="AH49" s="151"/>
      <c r="AI49" s="151"/>
      <c r="AJ49" s="151"/>
      <c r="AK49" s="151"/>
      <c r="AL49" s="151"/>
      <c r="AM49" s="151"/>
      <c r="AN49" s="151"/>
      <c r="AO49" s="150"/>
      <c r="AP49" s="150"/>
      <c r="AQ49" s="150"/>
      <c r="AR49" s="150"/>
      <c r="BG49" s="150"/>
    </row>
    <row r="50" spans="1:59" ht="38.25" customHeight="1">
      <c r="A50" s="696" t="s">
        <v>3856</v>
      </c>
      <c r="B50" s="750">
        <f>SUM('2 programa '!K22,'2 programa '!K26,'2 programa '!K31,'2 programa '!K36,'2 programa '!K41,)</f>
        <v>2541.1899999999996</v>
      </c>
      <c r="C50" s="750">
        <f>SUM('2 programa '!L22,'2 programa '!L26,'2 programa '!L31,'2 programa '!L36,'2 programa '!L41,)</f>
        <v>2549.64</v>
      </c>
      <c r="D50" s="750">
        <f>SUM('2 programa '!M22,'2 programa '!M26,'2 programa '!M31,'2 programa '!M36,'2 programa '!M41,)</f>
        <v>2670.5000000000005</v>
      </c>
      <c r="E50" s="846"/>
      <c r="F50" s="747"/>
      <c r="G50" s="747"/>
      <c r="H50" s="747"/>
      <c r="I50" s="747"/>
      <c r="J50" s="150"/>
      <c r="K50" s="150"/>
      <c r="L50" s="150"/>
      <c r="M50" s="150"/>
      <c r="N50" s="150"/>
      <c r="O50" s="150"/>
      <c r="P50" s="150"/>
      <c r="Q50" s="150"/>
      <c r="R50" s="150"/>
      <c r="S50" s="150"/>
      <c r="T50" s="150"/>
      <c r="U50" s="150"/>
      <c r="V50" s="150"/>
      <c r="W50" s="150"/>
      <c r="X50" s="150"/>
      <c r="Y50" s="150"/>
      <c r="AO50" s="150"/>
      <c r="AP50" s="150"/>
      <c r="AQ50" s="150"/>
      <c r="AR50" s="150"/>
    </row>
    <row r="51" spans="1:59" ht="27.75" customHeight="1">
      <c r="A51" s="162" t="s">
        <v>3857</v>
      </c>
      <c r="B51" s="750">
        <f>SUM('2 programa '!K46,'2 programa '!K51,'2 programa '!K55,'2 programa '!K60,'2 programa '!K66,)</f>
        <v>2324.2299999999996</v>
      </c>
      <c r="C51" s="750">
        <f>SUM('2 programa '!L46,'2 programa '!L51,'2 programa '!L55,'2 programa '!L60,'2 programa '!L66,)</f>
        <v>2336.89</v>
      </c>
      <c r="D51" s="750">
        <f>SUM('2 programa '!M46,'2 programa '!M51,'2 programa '!M55,'2 programa '!M60,'2 programa '!M66,)</f>
        <v>2443.0990000000002</v>
      </c>
      <c r="E51" s="846"/>
      <c r="F51" s="747"/>
      <c r="G51" s="747"/>
      <c r="H51" s="747"/>
      <c r="I51" s="747"/>
      <c r="J51" s="150"/>
      <c r="K51" s="150"/>
      <c r="V51" s="150"/>
      <c r="W51" s="150"/>
      <c r="X51" s="150"/>
      <c r="Y51" s="150"/>
    </row>
    <row r="52" spans="1:59" ht="23.25" customHeight="1">
      <c r="A52" s="696" t="s">
        <v>3858</v>
      </c>
      <c r="B52" s="750">
        <f>SUM('2 programa '!K71,'2 programa '!K75,'2 programa '!K228)</f>
        <v>1798.9</v>
      </c>
      <c r="C52" s="750">
        <f>SUM('2 programa '!L71,'2 programa '!L75,'2 programa '!L228)</f>
        <v>1801.12</v>
      </c>
      <c r="D52" s="750">
        <f>SUM('2 programa '!M71,'2 programa '!M75,'2 programa '!M228)</f>
        <v>1888.7099999999998</v>
      </c>
      <c r="E52" s="846"/>
      <c r="F52" s="747"/>
      <c r="G52" s="747"/>
      <c r="H52" s="747"/>
      <c r="I52" s="747"/>
      <c r="J52" s="150"/>
      <c r="K52" s="150"/>
      <c r="V52" s="150"/>
      <c r="W52" s="150"/>
      <c r="X52" s="150"/>
      <c r="Y52" s="150"/>
    </row>
    <row r="53" spans="1:59" ht="24" customHeight="1">
      <c r="A53" t="s">
        <v>2935</v>
      </c>
      <c r="B53" s="747">
        <f>SUM(B50,B51,B52)</f>
        <v>6664.32</v>
      </c>
      <c r="C53" s="747">
        <f t="shared" ref="C53:D53" si="20">SUM(C50,C51,C52)</f>
        <v>6687.65</v>
      </c>
      <c r="D53" s="747">
        <f t="shared" si="20"/>
        <v>7002.3090000000002</v>
      </c>
      <c r="E53" s="747"/>
      <c r="F53" s="748"/>
      <c r="G53" s="748"/>
      <c r="H53" s="748"/>
      <c r="I53" s="748"/>
      <c r="J53" s="150"/>
      <c r="K53" s="150"/>
      <c r="V53" s="150"/>
      <c r="W53" s="150"/>
      <c r="X53" s="150"/>
      <c r="Y53" s="150"/>
    </row>
    <row r="54" spans="1:59" ht="28.5" customHeight="1">
      <c r="B54" s="749"/>
      <c r="C54" s="749"/>
      <c r="D54" s="749"/>
      <c r="E54" s="749"/>
      <c r="F54" s="747"/>
      <c r="G54" s="747"/>
      <c r="H54" s="747"/>
      <c r="I54" s="747"/>
      <c r="J54" s="150"/>
      <c r="K54" s="150"/>
      <c r="V54" s="150"/>
      <c r="W54" s="150"/>
      <c r="X54" s="150"/>
      <c r="Y54" s="150"/>
    </row>
    <row r="55" spans="1:59">
      <c r="J55" s="150"/>
      <c r="K55" s="150"/>
      <c r="V55" s="150"/>
      <c r="W55" s="150"/>
      <c r="X55" s="150"/>
      <c r="Y55" s="150"/>
    </row>
    <row r="56" spans="1:59" ht="25.5">
      <c r="A56" s="799" t="s">
        <v>3903</v>
      </c>
      <c r="B56" s="747">
        <f>SUM('4 programa'!K17)</f>
        <v>1654.5900000000001</v>
      </c>
      <c r="C56" s="747">
        <f>SUM('4 programa'!L17)</f>
        <v>1658.3799999999999</v>
      </c>
      <c r="D56" s="747">
        <f>SUM('4 programa'!M17)</f>
        <v>1737.6599999999999</v>
      </c>
      <c r="E56" s="747"/>
      <c r="J56" s="150"/>
      <c r="K56" s="150"/>
      <c r="V56" s="150"/>
      <c r="W56" s="150"/>
      <c r="X56" s="150"/>
      <c r="Y56" s="150"/>
    </row>
    <row r="57" spans="1:59">
      <c r="F57" s="150"/>
      <c r="G57" s="150"/>
      <c r="H57" s="150"/>
      <c r="I57" s="150"/>
      <c r="J57" s="150"/>
      <c r="K57" s="150"/>
      <c r="V57" s="150"/>
      <c r="W57" s="150"/>
      <c r="X57" s="150"/>
      <c r="Y57" s="150"/>
    </row>
    <row r="58" spans="1:59">
      <c r="J58" s="150"/>
      <c r="K58" s="150"/>
      <c r="V58" s="150"/>
      <c r="W58" s="150"/>
      <c r="X58" s="150"/>
      <c r="Y58" s="150"/>
    </row>
    <row r="59" spans="1:59">
      <c r="J59" s="150"/>
      <c r="K59" s="150"/>
    </row>
    <row r="60" spans="1:59">
      <c r="B60" s="150"/>
      <c r="C60" s="150"/>
      <c r="D60" s="150"/>
      <c r="E60" s="150"/>
      <c r="F60" s="161"/>
      <c r="G60" s="161"/>
      <c r="H60" s="161"/>
      <c r="I60" s="161"/>
      <c r="J60" s="150"/>
      <c r="K60" s="150"/>
    </row>
    <row r="61" spans="1:59">
      <c r="J61" s="150"/>
      <c r="K61" s="150"/>
    </row>
    <row r="62" spans="1:59">
      <c r="J62" s="150"/>
      <c r="K62" s="150"/>
    </row>
    <row r="63" spans="1:59">
      <c r="J63" s="150"/>
      <c r="K63" s="150"/>
    </row>
    <row r="64" spans="1:59">
      <c r="J64" s="150"/>
      <c r="K64" s="150"/>
    </row>
    <row r="65" spans="10:11">
      <c r="J65" s="150"/>
      <c r="K65" s="150"/>
    </row>
    <row r="66" spans="10:11">
      <c r="J66" s="150"/>
      <c r="K66" s="150"/>
    </row>
    <row r="67" spans="10:11">
      <c r="J67" s="150"/>
      <c r="K67" s="150"/>
    </row>
    <row r="69" spans="10:11">
      <c r="K69" s="150"/>
    </row>
    <row r="70" spans="10:11">
      <c r="K70" s="150"/>
    </row>
    <row r="71" spans="10:11">
      <c r="K71" s="150"/>
    </row>
  </sheetData>
  <mergeCells count="14">
    <mergeCell ref="BE5:BG5"/>
    <mergeCell ref="R5:T5"/>
    <mergeCell ref="F2:V2"/>
    <mergeCell ref="B5:D5"/>
    <mergeCell ref="F5:H5"/>
    <mergeCell ref="J5:L5"/>
    <mergeCell ref="N5:P5"/>
    <mergeCell ref="V5:X5"/>
    <mergeCell ref="AJ5:AM5"/>
    <mergeCell ref="AO5:AQ5"/>
    <mergeCell ref="AS5:AU5"/>
    <mergeCell ref="AW5:AY5"/>
    <mergeCell ref="Z5:AD5"/>
    <mergeCell ref="AF5:AH5"/>
  </mergeCells>
  <pageMargins left="0.7" right="0.7" top="0.75" bottom="0.75" header="0.3" footer="0.3"/>
  <pageSetup paperSize="9" scale="52"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409"/>
  <sheetViews>
    <sheetView workbookViewId="0">
      <selection activeCell="A74" sqref="A74:D74"/>
    </sheetView>
  </sheetViews>
  <sheetFormatPr defaultRowHeight="12.75"/>
  <cols>
    <col min="1" max="1" width="58.5703125" customWidth="1"/>
    <col min="2" max="2" width="16.5703125" customWidth="1"/>
    <col min="5" max="5" width="1.85546875" customWidth="1"/>
  </cols>
  <sheetData>
    <row r="1" spans="1:7" ht="15.75">
      <c r="A1" s="42" t="s">
        <v>696</v>
      </c>
      <c r="B1" s="42"/>
      <c r="C1" s="42"/>
      <c r="D1" s="42"/>
      <c r="E1" s="3"/>
      <c r="F1" s="3"/>
      <c r="G1" s="42"/>
    </row>
    <row r="2" spans="1:7">
      <c r="A2" s="3"/>
      <c r="B2" s="3"/>
      <c r="C2" s="3"/>
      <c r="D2" s="3686"/>
      <c r="E2" s="3686"/>
      <c r="F2" s="3"/>
      <c r="G2" s="3"/>
    </row>
    <row r="3" spans="1:7" ht="13.5" thickBot="1">
      <c r="A3" s="5"/>
      <c r="B3" s="5"/>
      <c r="C3" s="5"/>
      <c r="D3" s="3687" t="s">
        <v>479</v>
      </c>
      <c r="E3" s="3687"/>
      <c r="F3" s="5"/>
      <c r="G3" s="3"/>
    </row>
    <row r="4" spans="1:7" ht="24.75" customHeight="1">
      <c r="A4" s="3688" t="s">
        <v>221</v>
      </c>
      <c r="B4" s="3688" t="s">
        <v>501</v>
      </c>
      <c r="C4" s="3688" t="s">
        <v>118</v>
      </c>
      <c r="D4" s="3690" t="s">
        <v>599</v>
      </c>
      <c r="E4" s="3691"/>
      <c r="F4" s="4" t="s">
        <v>600</v>
      </c>
      <c r="G4" s="43" t="s">
        <v>697</v>
      </c>
    </row>
    <row r="5" spans="1:7" ht="13.5" thickBot="1">
      <c r="A5" s="3689"/>
      <c r="B5" s="3689"/>
      <c r="C5" s="3689"/>
      <c r="D5" s="3692" t="s">
        <v>551</v>
      </c>
      <c r="E5" s="3693"/>
      <c r="F5" s="6" t="s">
        <v>551</v>
      </c>
      <c r="G5" s="43" t="s">
        <v>551</v>
      </c>
    </row>
    <row r="6" spans="1:7" ht="40.5" customHeight="1" thickBot="1">
      <c r="A6" s="3679" t="s">
        <v>493</v>
      </c>
      <c r="B6" s="3680"/>
      <c r="C6" s="3680"/>
      <c r="D6" s="3680"/>
      <c r="E6" s="3680"/>
      <c r="F6" s="3680"/>
      <c r="G6" s="44"/>
    </row>
    <row r="7" spans="1:7" ht="14.25" thickBot="1">
      <c r="A7" s="3679" t="s">
        <v>494</v>
      </c>
      <c r="B7" s="3680"/>
      <c r="C7" s="3680"/>
      <c r="D7" s="3680"/>
      <c r="E7" s="3680"/>
      <c r="F7" s="3680"/>
      <c r="G7" s="44"/>
    </row>
    <row r="8" spans="1:7" ht="22.5" customHeight="1" thickBot="1">
      <c r="A8" s="7" t="s">
        <v>495</v>
      </c>
      <c r="B8" s="8" t="s">
        <v>313</v>
      </c>
      <c r="C8" s="9" t="s">
        <v>314</v>
      </c>
      <c r="D8" s="3681">
        <v>85</v>
      </c>
      <c r="E8" s="3682"/>
      <c r="F8" s="10">
        <v>85</v>
      </c>
      <c r="G8" s="45">
        <v>85</v>
      </c>
    </row>
    <row r="9" spans="1:7" ht="29.25" customHeight="1" thickBot="1">
      <c r="A9" s="7" t="s">
        <v>584</v>
      </c>
      <c r="B9" s="8" t="s">
        <v>585</v>
      </c>
      <c r="C9" s="9" t="s">
        <v>176</v>
      </c>
      <c r="D9" s="3681" t="s">
        <v>586</v>
      </c>
      <c r="E9" s="3682"/>
      <c r="F9" s="10" t="s">
        <v>586</v>
      </c>
      <c r="G9" s="45" t="s">
        <v>586</v>
      </c>
    </row>
    <row r="10" spans="1:7" ht="31.5" customHeight="1" thickBot="1">
      <c r="A10" s="3683" t="s">
        <v>294</v>
      </c>
      <c r="B10" s="3684"/>
      <c r="C10" s="3684"/>
      <c r="D10" s="3684"/>
      <c r="E10" s="3685"/>
      <c r="F10" s="3685"/>
      <c r="G10" s="46"/>
    </row>
    <row r="11" spans="1:7" ht="27" customHeight="1" thickBot="1">
      <c r="A11" s="3699" t="s">
        <v>199</v>
      </c>
      <c r="B11" s="3700"/>
      <c r="C11" s="3700"/>
      <c r="D11" s="3700"/>
      <c r="E11" s="3701"/>
      <c r="F11" s="3701"/>
      <c r="G11" s="47"/>
    </row>
    <row r="12" spans="1:7" ht="14.25" thickBot="1">
      <c r="A12" s="3699" t="s">
        <v>200</v>
      </c>
      <c r="B12" s="3700"/>
      <c r="C12" s="3700"/>
      <c r="D12" s="3700"/>
      <c r="E12" s="3701"/>
      <c r="F12" s="3701"/>
      <c r="G12" s="47"/>
    </row>
    <row r="13" spans="1:7" ht="20.25" customHeight="1" thickBot="1">
      <c r="A13" s="7" t="s">
        <v>150</v>
      </c>
      <c r="B13" s="8" t="s">
        <v>201</v>
      </c>
      <c r="C13" s="9" t="s">
        <v>202</v>
      </c>
      <c r="D13" s="3681">
        <v>250</v>
      </c>
      <c r="E13" s="3682"/>
      <c r="F13" s="10">
        <v>250</v>
      </c>
      <c r="G13" s="45">
        <v>250</v>
      </c>
    </row>
    <row r="14" spans="1:7" ht="30" customHeight="1" thickBot="1">
      <c r="A14" s="7" t="s">
        <v>485</v>
      </c>
      <c r="B14" s="8" t="s">
        <v>174</v>
      </c>
      <c r="C14" s="9" t="s">
        <v>202</v>
      </c>
      <c r="D14" s="3681">
        <v>1400</v>
      </c>
      <c r="E14" s="3682"/>
      <c r="F14" s="10">
        <v>1400</v>
      </c>
      <c r="G14" s="45">
        <v>1400</v>
      </c>
    </row>
    <row r="15" spans="1:7" ht="33" customHeight="1" thickBot="1">
      <c r="A15" s="7" t="s">
        <v>71</v>
      </c>
      <c r="B15" s="8" t="s">
        <v>72</v>
      </c>
      <c r="C15" s="9" t="s">
        <v>314</v>
      </c>
      <c r="D15" s="3681">
        <v>99</v>
      </c>
      <c r="E15" s="3682"/>
      <c r="F15" s="10">
        <v>99</v>
      </c>
      <c r="G15" s="45">
        <v>99</v>
      </c>
    </row>
    <row r="16" spans="1:7" ht="36.75" customHeight="1" thickBot="1">
      <c r="A16" s="7" t="s">
        <v>601</v>
      </c>
      <c r="B16" s="8" t="s">
        <v>424</v>
      </c>
      <c r="C16" s="9" t="s">
        <v>202</v>
      </c>
      <c r="D16" s="3681">
        <v>11</v>
      </c>
      <c r="E16" s="3682"/>
      <c r="F16" s="10">
        <v>1</v>
      </c>
      <c r="G16" s="45">
        <v>10</v>
      </c>
    </row>
    <row r="17" spans="1:7" ht="13.5" thickBot="1">
      <c r="A17" s="3694" t="s">
        <v>73</v>
      </c>
      <c r="B17" s="3695"/>
      <c r="C17" s="3695"/>
      <c r="D17" s="3695"/>
      <c r="E17" s="3696"/>
      <c r="F17" s="3696"/>
      <c r="G17" s="48"/>
    </row>
    <row r="18" spans="1:7" ht="14.25" thickBot="1">
      <c r="A18" s="3697" t="s">
        <v>74</v>
      </c>
      <c r="B18" s="3698"/>
      <c r="C18" s="3698"/>
      <c r="D18" s="3698"/>
      <c r="E18" s="3696"/>
      <c r="F18" s="3696"/>
      <c r="G18" s="48"/>
    </row>
    <row r="19" spans="1:7" ht="13.5" thickBot="1">
      <c r="A19" s="11" t="s">
        <v>602</v>
      </c>
      <c r="B19" s="8" t="s">
        <v>490</v>
      </c>
      <c r="C19" s="9" t="s">
        <v>314</v>
      </c>
      <c r="D19" s="3681">
        <v>100</v>
      </c>
      <c r="E19" s="3682"/>
      <c r="F19" s="10">
        <v>100</v>
      </c>
      <c r="G19" s="45">
        <v>100</v>
      </c>
    </row>
    <row r="20" spans="1:7" ht="13.5" thickBot="1">
      <c r="A20" s="11" t="s">
        <v>488</v>
      </c>
      <c r="B20" s="8" t="s">
        <v>274</v>
      </c>
      <c r="C20" s="9" t="s">
        <v>202</v>
      </c>
      <c r="D20" s="3681">
        <v>450</v>
      </c>
      <c r="E20" s="3682"/>
      <c r="F20" s="10">
        <v>400</v>
      </c>
      <c r="G20" s="45">
        <v>450</v>
      </c>
    </row>
    <row r="21" spans="1:7" ht="14.25" thickBot="1">
      <c r="A21" s="3697" t="s">
        <v>312</v>
      </c>
      <c r="B21" s="3698"/>
      <c r="C21" s="3698"/>
      <c r="D21" s="3698"/>
      <c r="E21" s="3696"/>
      <c r="F21" s="3696"/>
      <c r="G21" s="48"/>
    </row>
    <row r="22" spans="1:7" ht="37.5" customHeight="1" thickBot="1">
      <c r="A22" s="12" t="s">
        <v>152</v>
      </c>
      <c r="B22" s="8" t="s">
        <v>286</v>
      </c>
      <c r="C22" s="9" t="s">
        <v>202</v>
      </c>
      <c r="D22" s="3681">
        <v>95</v>
      </c>
      <c r="E22" s="3682"/>
      <c r="F22" s="10">
        <v>100</v>
      </c>
      <c r="G22" s="45">
        <v>85</v>
      </c>
    </row>
    <row r="23" spans="1:7" ht="13.5" thickBot="1">
      <c r="A23" s="11" t="s">
        <v>333</v>
      </c>
      <c r="B23" s="8" t="s">
        <v>267</v>
      </c>
      <c r="C23" s="9" t="s">
        <v>202</v>
      </c>
      <c r="D23" s="3681">
        <v>900</v>
      </c>
      <c r="E23" s="3682"/>
      <c r="F23" s="10">
        <v>900</v>
      </c>
      <c r="G23" s="45">
        <v>900</v>
      </c>
    </row>
    <row r="24" spans="1:7" ht="35.25" customHeight="1" thickBot="1">
      <c r="A24" s="13" t="s">
        <v>563</v>
      </c>
      <c r="B24" s="8" t="s">
        <v>268</v>
      </c>
      <c r="C24" s="9" t="s">
        <v>202</v>
      </c>
      <c r="D24" s="3681">
        <v>4300</v>
      </c>
      <c r="E24" s="3682"/>
      <c r="F24" s="10">
        <v>4200</v>
      </c>
      <c r="G24" s="45">
        <v>4500</v>
      </c>
    </row>
    <row r="25" spans="1:7" ht="13.5" thickBot="1">
      <c r="A25" s="11" t="s">
        <v>269</v>
      </c>
      <c r="B25" s="8" t="s">
        <v>270</v>
      </c>
      <c r="C25" s="9" t="s">
        <v>202</v>
      </c>
      <c r="D25" s="3681">
        <v>1100</v>
      </c>
      <c r="E25" s="3682"/>
      <c r="F25" s="10">
        <v>1100</v>
      </c>
      <c r="G25" s="45">
        <v>1150</v>
      </c>
    </row>
    <row r="26" spans="1:7" ht="13.5" thickBot="1">
      <c r="A26" s="11" t="s">
        <v>603</v>
      </c>
      <c r="B26" s="8" t="s">
        <v>459</v>
      </c>
      <c r="C26" s="9" t="s">
        <v>202</v>
      </c>
      <c r="D26" s="3681">
        <v>104</v>
      </c>
      <c r="E26" s="3682"/>
      <c r="F26" s="10">
        <v>104</v>
      </c>
      <c r="G26" s="45">
        <v>104</v>
      </c>
    </row>
    <row r="27" spans="1:7" ht="13.5" thickBot="1">
      <c r="A27" s="11" t="s">
        <v>564</v>
      </c>
      <c r="B27" s="8" t="s">
        <v>366</v>
      </c>
      <c r="C27" s="9" t="s">
        <v>202</v>
      </c>
      <c r="D27" s="3681">
        <v>1</v>
      </c>
      <c r="E27" s="3682"/>
      <c r="F27" s="10">
        <v>1</v>
      </c>
      <c r="G27" s="45">
        <v>1</v>
      </c>
    </row>
    <row r="28" spans="1:7" ht="27.75" customHeight="1" thickBot="1">
      <c r="A28" s="36" t="s">
        <v>51</v>
      </c>
      <c r="B28" s="37"/>
      <c r="C28" s="37"/>
      <c r="D28" s="37"/>
      <c r="E28" s="30"/>
      <c r="F28" s="30"/>
      <c r="G28" s="48"/>
    </row>
    <row r="29" spans="1:7" ht="13.5" thickBot="1">
      <c r="A29" s="11" t="s">
        <v>486</v>
      </c>
      <c r="B29" s="8" t="s">
        <v>52</v>
      </c>
      <c r="C29" s="9" t="s">
        <v>202</v>
      </c>
      <c r="D29" s="3681">
        <v>10</v>
      </c>
      <c r="E29" s="3682"/>
      <c r="F29" s="10">
        <v>10</v>
      </c>
      <c r="G29" s="45">
        <v>10</v>
      </c>
    </row>
    <row r="30" spans="1:7" ht="13.5" thickBot="1">
      <c r="A30" s="11" t="s">
        <v>604</v>
      </c>
      <c r="B30" s="8" t="s">
        <v>321</v>
      </c>
      <c r="C30" s="9" t="s">
        <v>202</v>
      </c>
      <c r="D30" s="3681">
        <v>3</v>
      </c>
      <c r="E30" s="3682"/>
      <c r="F30" s="10">
        <v>3</v>
      </c>
      <c r="G30" s="45">
        <v>5</v>
      </c>
    </row>
    <row r="31" spans="1:7" ht="26.25" customHeight="1" thickBot="1">
      <c r="A31" s="36" t="s">
        <v>411</v>
      </c>
      <c r="B31" s="37"/>
      <c r="C31" s="37"/>
      <c r="D31" s="37"/>
      <c r="E31" s="30"/>
      <c r="F31" s="30"/>
      <c r="G31" s="48"/>
    </row>
    <row r="32" spans="1:7" ht="13.5" thickBot="1">
      <c r="A32" s="11" t="s">
        <v>605</v>
      </c>
      <c r="B32" s="8" t="s">
        <v>526</v>
      </c>
      <c r="C32" s="9" t="s">
        <v>314</v>
      </c>
      <c r="D32" s="3681">
        <v>100</v>
      </c>
      <c r="E32" s="3682"/>
      <c r="F32" s="10">
        <v>100</v>
      </c>
      <c r="G32" s="45">
        <v>100</v>
      </c>
    </row>
    <row r="33" spans="1:7" ht="28.5" customHeight="1" thickBot="1">
      <c r="A33" s="13" t="s">
        <v>84</v>
      </c>
      <c r="B33" s="8" t="s">
        <v>407</v>
      </c>
      <c r="C33" s="9" t="s">
        <v>314</v>
      </c>
      <c r="D33" s="3681">
        <v>100</v>
      </c>
      <c r="E33" s="3682"/>
      <c r="F33" s="10">
        <v>100</v>
      </c>
      <c r="G33" s="45">
        <v>100</v>
      </c>
    </row>
    <row r="34" spans="1:7" ht="42.75" customHeight="1" thickBot="1">
      <c r="A34" s="13" t="s">
        <v>228</v>
      </c>
      <c r="B34" s="8" t="s">
        <v>229</v>
      </c>
      <c r="C34" s="9" t="s">
        <v>314</v>
      </c>
      <c r="D34" s="3681">
        <v>100</v>
      </c>
      <c r="E34" s="3682"/>
      <c r="F34" s="10">
        <v>100</v>
      </c>
      <c r="G34" s="45">
        <v>100</v>
      </c>
    </row>
    <row r="35" spans="1:7" ht="14.25" thickBot="1">
      <c r="A35" s="3697" t="s">
        <v>527</v>
      </c>
      <c r="B35" s="3698"/>
      <c r="C35" s="3698"/>
      <c r="D35" s="3698"/>
      <c r="E35" s="3696"/>
      <c r="F35" s="3696"/>
      <c r="G35" s="48"/>
    </row>
    <row r="36" spans="1:7" ht="13.5" thickBot="1">
      <c r="A36" s="11" t="s">
        <v>606</v>
      </c>
      <c r="B36" s="8" t="s">
        <v>23</v>
      </c>
      <c r="C36" s="9" t="s">
        <v>314</v>
      </c>
      <c r="D36" s="3681">
        <v>100</v>
      </c>
      <c r="E36" s="3682"/>
      <c r="F36" s="10">
        <v>100</v>
      </c>
      <c r="G36" s="45">
        <v>90</v>
      </c>
    </row>
    <row r="37" spans="1:7" ht="13.5" thickBot="1">
      <c r="A37" s="11" t="s">
        <v>607</v>
      </c>
      <c r="B37" s="8" t="s">
        <v>17</v>
      </c>
      <c r="C37" s="14" t="s">
        <v>18</v>
      </c>
      <c r="D37" s="3681">
        <v>40</v>
      </c>
      <c r="E37" s="3682"/>
      <c r="F37" s="10">
        <v>40</v>
      </c>
      <c r="G37" s="45">
        <v>35</v>
      </c>
    </row>
    <row r="38" spans="1:7" ht="38.25" customHeight="1" thickBot="1">
      <c r="A38" s="3699" t="s">
        <v>113</v>
      </c>
      <c r="B38" s="3700"/>
      <c r="C38" s="3700"/>
      <c r="D38" s="3700"/>
      <c r="E38" s="3701"/>
      <c r="F38" s="3701"/>
      <c r="G38" s="47"/>
    </row>
    <row r="39" spans="1:7" ht="14.25" thickBot="1">
      <c r="A39" s="3699" t="s">
        <v>200</v>
      </c>
      <c r="B39" s="3700"/>
      <c r="C39" s="3700"/>
      <c r="D39" s="3700"/>
      <c r="E39" s="3701"/>
      <c r="F39" s="3701"/>
      <c r="G39" s="47"/>
    </row>
    <row r="40" spans="1:7" ht="38.25" customHeight="1" thickBot="1">
      <c r="A40" s="7" t="s">
        <v>298</v>
      </c>
      <c r="B40" s="8" t="s">
        <v>299</v>
      </c>
      <c r="C40" s="9" t="s">
        <v>314</v>
      </c>
      <c r="D40" s="3681">
        <v>50</v>
      </c>
      <c r="E40" s="3682"/>
      <c r="F40" s="10">
        <v>50</v>
      </c>
      <c r="G40" s="45">
        <v>40</v>
      </c>
    </row>
    <row r="41" spans="1:7" ht="29.25" customHeight="1" thickBot="1">
      <c r="A41" s="7" t="s">
        <v>300</v>
      </c>
      <c r="B41" s="8" t="s">
        <v>301</v>
      </c>
      <c r="C41" s="9" t="s">
        <v>202</v>
      </c>
      <c r="D41" s="3681">
        <v>500</v>
      </c>
      <c r="E41" s="3682"/>
      <c r="F41" s="10">
        <v>550</v>
      </c>
      <c r="G41" s="45">
        <v>400</v>
      </c>
    </row>
    <row r="42" spans="1:7" ht="27.75" customHeight="1" thickBot="1">
      <c r="A42" s="7" t="s">
        <v>608</v>
      </c>
      <c r="B42" s="8" t="s">
        <v>609</v>
      </c>
      <c r="C42" s="9" t="s">
        <v>202</v>
      </c>
      <c r="D42" s="3681">
        <v>2</v>
      </c>
      <c r="E42" s="3682"/>
      <c r="F42" s="10">
        <v>3</v>
      </c>
      <c r="G42" s="45">
        <v>1</v>
      </c>
    </row>
    <row r="43" spans="1:7" ht="13.5" thickBot="1">
      <c r="A43" s="3694" t="s">
        <v>73</v>
      </c>
      <c r="B43" s="3695"/>
      <c r="C43" s="3695"/>
      <c r="D43" s="3695"/>
      <c r="E43" s="3696"/>
      <c r="F43" s="3696"/>
      <c r="G43" s="48"/>
    </row>
    <row r="44" spans="1:7" ht="14.25" thickBot="1">
      <c r="A44" s="3697" t="s">
        <v>341</v>
      </c>
      <c r="B44" s="3698"/>
      <c r="C44" s="3698"/>
      <c r="D44" s="3698"/>
      <c r="E44" s="3696"/>
      <c r="F44" s="3696"/>
      <c r="G44" s="48"/>
    </row>
    <row r="45" spans="1:7" ht="30.75" customHeight="1" thickBot="1">
      <c r="A45" s="13" t="s">
        <v>610</v>
      </c>
      <c r="B45" s="8" t="s">
        <v>381</v>
      </c>
      <c r="C45" s="14" t="s">
        <v>382</v>
      </c>
      <c r="D45" s="3681">
        <v>50</v>
      </c>
      <c r="E45" s="3682"/>
      <c r="F45" s="10">
        <v>60</v>
      </c>
      <c r="G45" s="45">
        <v>46</v>
      </c>
    </row>
    <row r="46" spans="1:7" ht="14.25" thickBot="1">
      <c r="A46" s="3697" t="s">
        <v>611</v>
      </c>
      <c r="B46" s="3698"/>
      <c r="C46" s="3698"/>
      <c r="D46" s="3698"/>
      <c r="E46" s="3696"/>
      <c r="F46" s="3696"/>
      <c r="G46" s="48"/>
    </row>
    <row r="47" spans="1:7" ht="36.75" customHeight="1" thickBot="1">
      <c r="A47" s="13" t="s">
        <v>565</v>
      </c>
      <c r="B47" s="8" t="s">
        <v>255</v>
      </c>
      <c r="C47" s="14" t="s">
        <v>202</v>
      </c>
      <c r="D47" s="3681">
        <v>3</v>
      </c>
      <c r="E47" s="3682"/>
      <c r="F47" s="10">
        <v>3</v>
      </c>
      <c r="G47" s="45">
        <v>3</v>
      </c>
    </row>
    <row r="48" spans="1:7" ht="30.75" customHeight="1" thickBot="1">
      <c r="A48" s="13" t="s">
        <v>612</v>
      </c>
      <c r="B48" s="8" t="s">
        <v>252</v>
      </c>
      <c r="C48" s="9" t="s">
        <v>314</v>
      </c>
      <c r="D48" s="3681">
        <v>60</v>
      </c>
      <c r="E48" s="3682"/>
      <c r="F48" s="10">
        <v>60</v>
      </c>
      <c r="G48" s="45">
        <v>70</v>
      </c>
    </row>
    <row r="49" spans="1:7" ht="31.5" customHeight="1" thickBot="1">
      <c r="A49" s="13" t="s">
        <v>41</v>
      </c>
      <c r="B49" s="8" t="s">
        <v>253</v>
      </c>
      <c r="C49" s="9" t="s">
        <v>202</v>
      </c>
      <c r="D49" s="3681">
        <v>2</v>
      </c>
      <c r="E49" s="3682"/>
      <c r="F49" s="10">
        <v>2</v>
      </c>
      <c r="G49" s="45">
        <v>2</v>
      </c>
    </row>
    <row r="50" spans="1:7" ht="14.25" thickBot="1">
      <c r="A50" s="3697" t="s">
        <v>579</v>
      </c>
      <c r="B50" s="3698"/>
      <c r="C50" s="3698"/>
      <c r="D50" s="3698"/>
      <c r="E50" s="3696"/>
      <c r="F50" s="3696"/>
      <c r="G50" s="48"/>
    </row>
    <row r="51" spans="1:7" ht="13.5" thickBot="1">
      <c r="A51" s="11" t="s">
        <v>487</v>
      </c>
      <c r="B51" s="8" t="s">
        <v>580</v>
      </c>
      <c r="C51" s="9" t="s">
        <v>202</v>
      </c>
      <c r="D51" s="3681">
        <v>3</v>
      </c>
      <c r="E51" s="3682"/>
      <c r="F51" s="10">
        <v>3</v>
      </c>
      <c r="G51" s="45">
        <v>4</v>
      </c>
    </row>
    <row r="52" spans="1:7" ht="13.5" thickBot="1">
      <c r="A52" s="11" t="s">
        <v>353</v>
      </c>
      <c r="B52" s="8" t="s">
        <v>245</v>
      </c>
      <c r="C52" s="9" t="s">
        <v>202</v>
      </c>
      <c r="D52" s="3681">
        <v>1</v>
      </c>
      <c r="E52" s="3682"/>
      <c r="F52" s="10">
        <v>1</v>
      </c>
      <c r="G52" s="45">
        <v>0</v>
      </c>
    </row>
    <row r="53" spans="1:7" ht="27.75" customHeight="1" thickBot="1">
      <c r="A53" s="3703" t="s">
        <v>373</v>
      </c>
      <c r="B53" s="3704"/>
      <c r="C53" s="3704"/>
      <c r="D53" s="3704"/>
      <c r="E53" s="3705"/>
      <c r="F53" s="3705"/>
      <c r="G53" s="49"/>
    </row>
    <row r="54" spans="1:7" ht="13.5" thickBot="1">
      <c r="A54" s="11" t="s">
        <v>10</v>
      </c>
      <c r="B54" s="8" t="s">
        <v>11</v>
      </c>
      <c r="C54" s="9" t="s">
        <v>202</v>
      </c>
      <c r="D54" s="3681">
        <v>9</v>
      </c>
      <c r="E54" s="3682"/>
      <c r="F54" s="10">
        <v>10</v>
      </c>
      <c r="G54" s="45">
        <v>8</v>
      </c>
    </row>
    <row r="55" spans="1:7" ht="13.5" thickBot="1">
      <c r="A55" s="11" t="s">
        <v>283</v>
      </c>
      <c r="B55" s="8" t="s">
        <v>520</v>
      </c>
      <c r="C55" s="9" t="s">
        <v>202</v>
      </c>
      <c r="D55" s="3681">
        <v>0</v>
      </c>
      <c r="E55" s="3682"/>
      <c r="F55" s="10">
        <v>0</v>
      </c>
      <c r="G55" s="45">
        <v>1</v>
      </c>
    </row>
    <row r="56" spans="1:7" ht="25.5">
      <c r="A56" s="15" t="s">
        <v>613</v>
      </c>
      <c r="B56" s="3706" t="s">
        <v>570</v>
      </c>
      <c r="C56" s="3709" t="s">
        <v>202</v>
      </c>
      <c r="D56" s="3712">
        <v>2</v>
      </c>
      <c r="E56" s="3713"/>
      <c r="F56" s="3712">
        <v>2</v>
      </c>
      <c r="G56" s="3753">
        <v>2</v>
      </c>
    </row>
    <row r="57" spans="1:7" ht="13.5" thickBot="1">
      <c r="A57" s="13" t="s">
        <v>614</v>
      </c>
      <c r="B57" s="3707"/>
      <c r="C57" s="3710"/>
      <c r="D57" s="3714"/>
      <c r="E57" s="3715"/>
      <c r="F57" s="3714"/>
      <c r="G57" s="3753"/>
    </row>
    <row r="58" spans="1:7" ht="26.25" thickBot="1">
      <c r="A58" s="13" t="s">
        <v>45</v>
      </c>
      <c r="B58" s="3707"/>
      <c r="C58" s="3710"/>
      <c r="D58" s="3681">
        <v>2</v>
      </c>
      <c r="E58" s="3682"/>
      <c r="F58" s="10">
        <v>2</v>
      </c>
      <c r="G58" s="45">
        <v>2</v>
      </c>
    </row>
    <row r="59" spans="1:7" ht="36.75" customHeight="1" thickBot="1">
      <c r="A59" s="13" t="s">
        <v>615</v>
      </c>
      <c r="B59" s="3707"/>
      <c r="C59" s="3710"/>
      <c r="D59" s="3681">
        <v>2</v>
      </c>
      <c r="E59" s="3682"/>
      <c r="F59" s="10">
        <v>2</v>
      </c>
      <c r="G59" s="45">
        <v>2</v>
      </c>
    </row>
    <row r="60" spans="1:7" ht="38.25" customHeight="1" thickBot="1">
      <c r="A60" s="13" t="s">
        <v>616</v>
      </c>
      <c r="B60" s="3708"/>
      <c r="C60" s="3711"/>
      <c r="D60" s="3681">
        <v>52</v>
      </c>
      <c r="E60" s="3682"/>
      <c r="F60" s="10">
        <v>52</v>
      </c>
      <c r="G60" s="45">
        <v>52</v>
      </c>
    </row>
    <row r="61" spans="1:7" ht="27" customHeight="1" thickBot="1">
      <c r="A61" s="3679" t="s">
        <v>26</v>
      </c>
      <c r="B61" s="3680"/>
      <c r="C61" s="3680"/>
      <c r="D61" s="3680"/>
      <c r="E61" s="3702"/>
      <c r="F61" s="3702"/>
      <c r="G61" s="50"/>
    </row>
    <row r="62" spans="1:7" ht="14.25" thickBot="1">
      <c r="A62" s="3679" t="s">
        <v>494</v>
      </c>
      <c r="B62" s="3680"/>
      <c r="C62" s="3680"/>
      <c r="D62" s="3680"/>
      <c r="E62" s="3702"/>
      <c r="F62" s="3702"/>
      <c r="G62" s="50"/>
    </row>
    <row r="63" spans="1:7" ht="37.5" customHeight="1" thickBot="1">
      <c r="A63" s="7" t="s">
        <v>310</v>
      </c>
      <c r="B63" s="8" t="s">
        <v>441</v>
      </c>
      <c r="C63" s="9" t="s">
        <v>314</v>
      </c>
      <c r="D63" s="3681">
        <v>65</v>
      </c>
      <c r="E63" s="3682"/>
      <c r="F63" s="10">
        <v>65</v>
      </c>
      <c r="G63" s="45">
        <v>65</v>
      </c>
    </row>
    <row r="64" spans="1:7" ht="40.5" customHeight="1" thickBot="1">
      <c r="A64" s="7" t="s">
        <v>352</v>
      </c>
      <c r="B64" s="8" t="s">
        <v>442</v>
      </c>
      <c r="C64" s="9" t="s">
        <v>202</v>
      </c>
      <c r="D64" s="3681">
        <v>25</v>
      </c>
      <c r="E64" s="3682"/>
      <c r="F64" s="10">
        <v>25</v>
      </c>
      <c r="G64" s="45">
        <v>23</v>
      </c>
    </row>
    <row r="65" spans="1:7" ht="36" customHeight="1" thickBot="1">
      <c r="A65" s="7" t="s">
        <v>617</v>
      </c>
      <c r="B65" s="8" t="s">
        <v>443</v>
      </c>
      <c r="C65" s="9" t="s">
        <v>314</v>
      </c>
      <c r="D65" s="3718">
        <v>17</v>
      </c>
      <c r="E65" s="3719"/>
      <c r="F65" s="16">
        <v>17</v>
      </c>
      <c r="G65" s="51">
        <v>16</v>
      </c>
    </row>
    <row r="66" spans="1:7" ht="13.5" thickBot="1">
      <c r="A66" s="7" t="s">
        <v>447</v>
      </c>
      <c r="B66" s="8" t="s">
        <v>327</v>
      </c>
      <c r="C66" s="9" t="s">
        <v>202</v>
      </c>
      <c r="D66" s="3718">
        <v>2</v>
      </c>
      <c r="E66" s="3719"/>
      <c r="F66" s="16">
        <v>2</v>
      </c>
      <c r="G66" s="51">
        <v>2</v>
      </c>
    </row>
    <row r="67" spans="1:7" ht="32.25" customHeight="1" thickBot="1">
      <c r="A67" s="7" t="s">
        <v>326</v>
      </c>
      <c r="B67" s="8" t="s">
        <v>60</v>
      </c>
      <c r="C67" s="9" t="s">
        <v>202</v>
      </c>
      <c r="D67" s="3718">
        <v>40</v>
      </c>
      <c r="E67" s="3719"/>
      <c r="F67" s="16">
        <v>40</v>
      </c>
      <c r="G67" s="51">
        <v>40</v>
      </c>
    </row>
    <row r="68" spans="1:7" ht="37.5" customHeight="1" thickBot="1">
      <c r="A68" s="7" t="s">
        <v>59</v>
      </c>
      <c r="B68" s="8" t="s">
        <v>79</v>
      </c>
      <c r="C68" s="9" t="s">
        <v>202</v>
      </c>
      <c r="D68" s="3718" t="s">
        <v>618</v>
      </c>
      <c r="E68" s="3719"/>
      <c r="F68" s="16" t="s">
        <v>618</v>
      </c>
      <c r="G68" s="51" t="s">
        <v>618</v>
      </c>
    </row>
    <row r="69" spans="1:7" ht="30.75" customHeight="1" thickBot="1">
      <c r="A69" s="7" t="s">
        <v>78</v>
      </c>
      <c r="B69" s="8" t="s">
        <v>478</v>
      </c>
      <c r="C69" s="9" t="s">
        <v>314</v>
      </c>
      <c r="D69" s="3681">
        <v>6.5</v>
      </c>
      <c r="E69" s="3682"/>
      <c r="F69" s="10">
        <v>6.5</v>
      </c>
      <c r="G69" s="45">
        <v>6.6</v>
      </c>
    </row>
    <row r="70" spans="1:7" ht="35.25" customHeight="1" thickBot="1">
      <c r="A70" s="7" t="s">
        <v>209</v>
      </c>
      <c r="B70" s="8" t="s">
        <v>359</v>
      </c>
      <c r="C70" s="9" t="s">
        <v>202</v>
      </c>
      <c r="D70" s="3681" t="s">
        <v>212</v>
      </c>
      <c r="E70" s="3682"/>
      <c r="F70" s="10" t="s">
        <v>212</v>
      </c>
      <c r="G70" s="45" t="s">
        <v>211</v>
      </c>
    </row>
    <row r="71" spans="1:7" ht="32.25" customHeight="1" thickBot="1">
      <c r="A71" s="7" t="s">
        <v>477</v>
      </c>
      <c r="B71" s="8" t="s">
        <v>587</v>
      </c>
      <c r="C71" s="9" t="s">
        <v>202</v>
      </c>
      <c r="D71" s="3716" t="s">
        <v>463</v>
      </c>
      <c r="E71" s="3717"/>
      <c r="F71" s="17" t="s">
        <v>463</v>
      </c>
      <c r="G71" s="52" t="s">
        <v>463</v>
      </c>
    </row>
    <row r="72" spans="1:7" ht="34.5" thickBot="1">
      <c r="A72" s="7" t="s">
        <v>358</v>
      </c>
      <c r="B72" s="8" t="s">
        <v>210</v>
      </c>
      <c r="C72" s="9" t="s">
        <v>202</v>
      </c>
      <c r="D72" s="3716" t="s">
        <v>463</v>
      </c>
      <c r="E72" s="3717"/>
      <c r="F72" s="17" t="s">
        <v>463</v>
      </c>
      <c r="G72" s="52" t="s">
        <v>463</v>
      </c>
    </row>
    <row r="73" spans="1:7" ht="31.5" customHeight="1" thickBot="1">
      <c r="A73" s="3683" t="s">
        <v>287</v>
      </c>
      <c r="B73" s="3684"/>
      <c r="C73" s="3684"/>
      <c r="D73" s="3684"/>
      <c r="E73" s="3685"/>
      <c r="F73" s="3685"/>
      <c r="G73" s="46"/>
    </row>
    <row r="74" spans="1:7" ht="27" customHeight="1" thickBot="1">
      <c r="A74" s="3699" t="s">
        <v>457</v>
      </c>
      <c r="B74" s="3700"/>
      <c r="C74" s="3700"/>
      <c r="D74" s="3700"/>
      <c r="E74" s="3701"/>
      <c r="F74" s="3701"/>
      <c r="G74" s="47"/>
    </row>
    <row r="75" spans="1:7" ht="14.25" thickBot="1">
      <c r="A75" s="3699" t="s">
        <v>200</v>
      </c>
      <c r="B75" s="3700"/>
      <c r="C75" s="3700"/>
      <c r="D75" s="3700"/>
      <c r="E75" s="3701"/>
      <c r="F75" s="3701"/>
      <c r="G75" s="47"/>
    </row>
    <row r="76" spans="1:7" ht="36" customHeight="1" thickBot="1">
      <c r="A76" s="7" t="s">
        <v>92</v>
      </c>
      <c r="B76" s="18" t="s">
        <v>458</v>
      </c>
      <c r="C76" s="9" t="s">
        <v>202</v>
      </c>
      <c r="D76" s="3681">
        <v>165</v>
      </c>
      <c r="E76" s="3682"/>
      <c r="F76" s="10">
        <v>165</v>
      </c>
      <c r="G76" s="45">
        <v>160</v>
      </c>
    </row>
    <row r="77" spans="1:7" ht="28.5" customHeight="1" thickBot="1">
      <c r="A77" s="7" t="s">
        <v>456</v>
      </c>
      <c r="B77" s="18" t="s">
        <v>566</v>
      </c>
      <c r="C77" s="9" t="s">
        <v>314</v>
      </c>
      <c r="D77" s="3681">
        <v>98</v>
      </c>
      <c r="E77" s="3682"/>
      <c r="F77" s="10">
        <v>98</v>
      </c>
      <c r="G77" s="45">
        <v>98</v>
      </c>
    </row>
    <row r="78" spans="1:7" ht="38.25" customHeight="1" thickBot="1">
      <c r="A78" s="7" t="s">
        <v>93</v>
      </c>
      <c r="B78" s="18" t="s">
        <v>384</v>
      </c>
      <c r="C78" s="9" t="s">
        <v>202</v>
      </c>
      <c r="D78" s="3681">
        <v>14</v>
      </c>
      <c r="E78" s="3682"/>
      <c r="F78" s="10">
        <v>16</v>
      </c>
      <c r="G78" s="45">
        <v>12</v>
      </c>
    </row>
    <row r="79" spans="1:7" ht="30.75" customHeight="1" thickBot="1">
      <c r="A79" s="7" t="s">
        <v>383</v>
      </c>
      <c r="B79" s="3720" t="s">
        <v>55</v>
      </c>
      <c r="C79" s="20"/>
      <c r="D79" s="3722"/>
      <c r="E79" s="3723"/>
      <c r="F79" s="21"/>
      <c r="G79" s="2"/>
    </row>
    <row r="80" spans="1:7" ht="19.5" customHeight="1" thickBot="1">
      <c r="A80" s="7" t="s">
        <v>385</v>
      </c>
      <c r="B80" s="3721"/>
      <c r="C80" s="9" t="s">
        <v>314</v>
      </c>
      <c r="D80" s="3681">
        <v>99</v>
      </c>
      <c r="E80" s="3682"/>
      <c r="F80" s="10">
        <v>99</v>
      </c>
      <c r="G80" s="45">
        <v>99</v>
      </c>
    </row>
    <row r="81" spans="1:7" ht="20.25" customHeight="1" thickBot="1">
      <c r="A81" s="7" t="s">
        <v>54</v>
      </c>
      <c r="B81" s="18" t="s">
        <v>94</v>
      </c>
      <c r="C81" s="9" t="s">
        <v>314</v>
      </c>
      <c r="D81" s="3681">
        <v>99</v>
      </c>
      <c r="E81" s="3682"/>
      <c r="F81" s="10">
        <v>99</v>
      </c>
      <c r="G81" s="45">
        <v>99</v>
      </c>
    </row>
    <row r="82" spans="1:7" ht="26.25" customHeight="1" thickBot="1">
      <c r="A82" s="3694" t="s">
        <v>73</v>
      </c>
      <c r="B82" s="3695"/>
      <c r="C82" s="3695"/>
      <c r="D82" s="3695"/>
      <c r="E82" s="3696"/>
      <c r="F82" s="3696"/>
      <c r="G82" s="48"/>
    </row>
    <row r="83" spans="1:7" ht="47.25" customHeight="1" thickBot="1">
      <c r="A83" s="3749" t="s">
        <v>695</v>
      </c>
      <c r="B83" s="3750"/>
      <c r="C83" s="3750"/>
      <c r="D83" s="3750"/>
      <c r="E83" s="3750"/>
      <c r="F83" s="3750"/>
      <c r="G83" s="53"/>
    </row>
    <row r="84" spans="1:7" ht="21.75" customHeight="1" thickBot="1">
      <c r="A84" s="12" t="s">
        <v>444</v>
      </c>
      <c r="B84" s="18" t="s">
        <v>445</v>
      </c>
      <c r="C84" s="9" t="s">
        <v>202</v>
      </c>
      <c r="D84" s="3724">
        <v>770</v>
      </c>
      <c r="E84" s="3725"/>
      <c r="F84" s="22">
        <v>780</v>
      </c>
      <c r="G84" s="54">
        <v>760</v>
      </c>
    </row>
    <row r="85" spans="1:7" ht="30" customHeight="1" thickBot="1">
      <c r="A85" s="12" t="s">
        <v>102</v>
      </c>
      <c r="B85" s="18" t="s">
        <v>114</v>
      </c>
      <c r="C85" s="23" t="s">
        <v>202</v>
      </c>
      <c r="D85" s="3724">
        <v>190</v>
      </c>
      <c r="E85" s="3725"/>
      <c r="F85" s="22">
        <v>190</v>
      </c>
      <c r="G85" s="54">
        <v>180</v>
      </c>
    </row>
    <row r="86" spans="1:7" ht="21.75" customHeight="1" thickBot="1">
      <c r="A86" s="12" t="s">
        <v>129</v>
      </c>
      <c r="B86" s="18" t="s">
        <v>130</v>
      </c>
      <c r="C86" s="23" t="s">
        <v>202</v>
      </c>
      <c r="D86" s="3724">
        <v>770</v>
      </c>
      <c r="E86" s="3725"/>
      <c r="F86" s="22">
        <v>780</v>
      </c>
      <c r="G86" s="54">
        <v>760</v>
      </c>
    </row>
    <row r="87" spans="1:7" ht="32.25" customHeight="1" thickBot="1">
      <c r="A87" s="12" t="s">
        <v>131</v>
      </c>
      <c r="B87" s="18" t="s">
        <v>128</v>
      </c>
      <c r="C87" s="23" t="s">
        <v>202</v>
      </c>
      <c r="D87" s="3724">
        <v>890</v>
      </c>
      <c r="E87" s="3725"/>
      <c r="F87" s="22">
        <v>890</v>
      </c>
      <c r="G87" s="54">
        <v>890</v>
      </c>
    </row>
    <row r="88" spans="1:7" ht="30" customHeight="1" thickBot="1">
      <c r="A88" s="12" t="s">
        <v>332</v>
      </c>
      <c r="B88" s="18" t="s">
        <v>290</v>
      </c>
      <c r="C88" s="23" t="s">
        <v>202</v>
      </c>
      <c r="D88" s="3724">
        <v>200</v>
      </c>
      <c r="E88" s="3725"/>
      <c r="F88" s="22">
        <v>210</v>
      </c>
      <c r="G88" s="54">
        <v>200</v>
      </c>
    </row>
    <row r="89" spans="1:7" ht="33.75" customHeight="1" thickBot="1">
      <c r="A89" s="12" t="s">
        <v>95</v>
      </c>
      <c r="B89" s="18" t="s">
        <v>397</v>
      </c>
      <c r="C89" s="23" t="s">
        <v>202</v>
      </c>
      <c r="D89" s="3724">
        <v>15</v>
      </c>
      <c r="E89" s="3725"/>
      <c r="F89" s="22">
        <v>15</v>
      </c>
      <c r="G89" s="54">
        <v>17</v>
      </c>
    </row>
    <row r="90" spans="1:7" ht="37.5" customHeight="1" thickBot="1">
      <c r="A90" s="12" t="s">
        <v>96</v>
      </c>
      <c r="B90" s="18" t="s">
        <v>398</v>
      </c>
      <c r="C90" s="23" t="s">
        <v>202</v>
      </c>
      <c r="D90" s="3724">
        <v>2300</v>
      </c>
      <c r="E90" s="3725"/>
      <c r="F90" s="22">
        <v>2300</v>
      </c>
      <c r="G90" s="54">
        <v>2200</v>
      </c>
    </row>
    <row r="91" spans="1:7" ht="37.5" customHeight="1" thickBot="1">
      <c r="A91" s="12" t="s">
        <v>530</v>
      </c>
      <c r="B91" s="18" t="s">
        <v>235</v>
      </c>
      <c r="C91" s="23" t="s">
        <v>202</v>
      </c>
      <c r="D91" s="3724">
        <v>300</v>
      </c>
      <c r="E91" s="3725"/>
      <c r="F91" s="22">
        <v>500</v>
      </c>
      <c r="G91" s="54">
        <v>200</v>
      </c>
    </row>
    <row r="92" spans="1:7" ht="36.75" customHeight="1" thickBot="1">
      <c r="A92" s="12" t="s">
        <v>289</v>
      </c>
      <c r="B92" s="18" t="s">
        <v>237</v>
      </c>
      <c r="C92" s="23" t="s">
        <v>202</v>
      </c>
      <c r="D92" s="3724">
        <v>70</v>
      </c>
      <c r="E92" s="3725"/>
      <c r="F92" s="22">
        <v>90</v>
      </c>
      <c r="G92" s="54">
        <v>65</v>
      </c>
    </row>
    <row r="93" spans="1:7" ht="34.5" customHeight="1" thickBot="1">
      <c r="A93" s="12" t="s">
        <v>331</v>
      </c>
      <c r="B93" s="18" t="s">
        <v>364</v>
      </c>
      <c r="C93" s="23" t="s">
        <v>314</v>
      </c>
      <c r="D93" s="3724">
        <v>28</v>
      </c>
      <c r="E93" s="3725"/>
      <c r="F93" s="22">
        <v>30</v>
      </c>
      <c r="G93" s="54">
        <v>27</v>
      </c>
    </row>
    <row r="94" spans="1:7" ht="36" customHeight="1" thickBot="1">
      <c r="A94" s="12" t="s">
        <v>531</v>
      </c>
      <c r="B94" s="18" t="s">
        <v>340</v>
      </c>
      <c r="C94" s="23" t="s">
        <v>202</v>
      </c>
      <c r="D94" s="3724">
        <v>95</v>
      </c>
      <c r="E94" s="3725"/>
      <c r="F94" s="22">
        <v>100</v>
      </c>
      <c r="G94" s="54">
        <v>90</v>
      </c>
    </row>
    <row r="95" spans="1:7" ht="35.25" customHeight="1" thickBot="1">
      <c r="A95" s="12" t="s">
        <v>236</v>
      </c>
      <c r="B95" s="20"/>
      <c r="C95" s="23" t="s">
        <v>202</v>
      </c>
      <c r="D95" s="3724">
        <v>130</v>
      </c>
      <c r="E95" s="3725"/>
      <c r="F95" s="22">
        <v>110</v>
      </c>
      <c r="G95" s="54">
        <v>250</v>
      </c>
    </row>
    <row r="96" spans="1:7" ht="13.5" thickBot="1">
      <c r="A96" s="12" t="s">
        <v>238</v>
      </c>
      <c r="B96" s="18" t="s">
        <v>265</v>
      </c>
      <c r="C96" s="23" t="s">
        <v>202</v>
      </c>
      <c r="D96" s="3724">
        <v>50</v>
      </c>
      <c r="E96" s="3725"/>
      <c r="F96" s="22">
        <v>30</v>
      </c>
      <c r="G96" s="54">
        <v>100</v>
      </c>
    </row>
    <row r="97" spans="1:7" ht="13.5" thickBot="1">
      <c r="A97" s="12" t="s">
        <v>362</v>
      </c>
      <c r="B97" s="20"/>
      <c r="C97" s="23" t="s">
        <v>202</v>
      </c>
      <c r="D97" s="3724">
        <v>50</v>
      </c>
      <c r="E97" s="3725"/>
      <c r="F97" s="22">
        <v>50</v>
      </c>
      <c r="G97" s="54">
        <v>100</v>
      </c>
    </row>
    <row r="98" spans="1:7" ht="13.5" thickBot="1">
      <c r="A98" s="12" t="s">
        <v>363</v>
      </c>
      <c r="B98" s="20"/>
      <c r="C98" s="23" t="s">
        <v>202</v>
      </c>
      <c r="D98" s="3724">
        <v>30</v>
      </c>
      <c r="E98" s="3725"/>
      <c r="F98" s="22">
        <v>30</v>
      </c>
      <c r="G98" s="54">
        <v>50</v>
      </c>
    </row>
    <row r="99" spans="1:7" ht="36" customHeight="1" thickBot="1">
      <c r="A99" s="12" t="s">
        <v>532</v>
      </c>
      <c r="B99" s="18" t="s">
        <v>266</v>
      </c>
      <c r="C99" s="23" t="s">
        <v>314</v>
      </c>
      <c r="D99" s="3724">
        <v>95</v>
      </c>
      <c r="E99" s="3725"/>
      <c r="F99" s="22">
        <v>100</v>
      </c>
      <c r="G99" s="54">
        <v>90</v>
      </c>
    </row>
    <row r="100" spans="1:7" ht="39" customHeight="1" thickBot="1">
      <c r="A100" s="12" t="s">
        <v>533</v>
      </c>
      <c r="B100" s="18" t="s">
        <v>448</v>
      </c>
      <c r="C100" s="23" t="s">
        <v>202</v>
      </c>
      <c r="D100" s="3724">
        <v>1500</v>
      </c>
      <c r="E100" s="3725"/>
      <c r="F100" s="22">
        <v>1500</v>
      </c>
      <c r="G100" s="54">
        <v>1400</v>
      </c>
    </row>
    <row r="101" spans="1:7" ht="36" customHeight="1" thickBot="1">
      <c r="A101" s="12" t="s">
        <v>534</v>
      </c>
      <c r="B101" s="18" t="s">
        <v>449</v>
      </c>
      <c r="C101" s="23" t="s">
        <v>202</v>
      </c>
      <c r="D101" s="3724">
        <v>600</v>
      </c>
      <c r="E101" s="3725"/>
      <c r="F101" s="22">
        <v>650</v>
      </c>
      <c r="G101" s="54">
        <v>500</v>
      </c>
    </row>
    <row r="102" spans="1:7" ht="40.5" customHeight="1" thickBot="1">
      <c r="A102" s="3703" t="s">
        <v>467</v>
      </c>
      <c r="B102" s="3704"/>
      <c r="C102" s="3704"/>
      <c r="D102" s="3704"/>
      <c r="E102" s="3705"/>
      <c r="F102" s="3705"/>
      <c r="G102" s="49"/>
    </row>
    <row r="103" spans="1:7" ht="30.75" customHeight="1" thickBot="1">
      <c r="A103" s="3726" t="s">
        <v>535</v>
      </c>
      <c r="B103" s="3720" t="s">
        <v>396</v>
      </c>
      <c r="C103" s="23" t="s">
        <v>202</v>
      </c>
      <c r="D103" s="3724">
        <v>1200</v>
      </c>
      <c r="E103" s="3725"/>
      <c r="F103" s="22">
        <v>1200</v>
      </c>
      <c r="G103" s="54">
        <v>1200</v>
      </c>
    </row>
    <row r="104" spans="1:7" ht="13.5" thickBot="1">
      <c r="A104" s="3727"/>
      <c r="B104" s="3721"/>
      <c r="C104" s="23" t="s">
        <v>314</v>
      </c>
      <c r="D104" s="3724">
        <v>8</v>
      </c>
      <c r="E104" s="3725"/>
      <c r="F104" s="22">
        <v>10</v>
      </c>
      <c r="G104" s="54">
        <v>7</v>
      </c>
    </row>
    <row r="105" spans="1:7" ht="41.25" customHeight="1" thickBot="1">
      <c r="A105" s="12" t="s">
        <v>451</v>
      </c>
      <c r="B105" s="18" t="s">
        <v>173</v>
      </c>
      <c r="C105" s="23" t="s">
        <v>202</v>
      </c>
      <c r="D105" s="3724">
        <v>8</v>
      </c>
      <c r="E105" s="3725"/>
      <c r="F105" s="22">
        <v>9</v>
      </c>
      <c r="G105" s="54">
        <v>6</v>
      </c>
    </row>
    <row r="106" spans="1:7" ht="38.25" customHeight="1" thickBot="1">
      <c r="A106" s="12" t="s">
        <v>292</v>
      </c>
      <c r="B106" s="18" t="s">
        <v>450</v>
      </c>
      <c r="C106" s="23" t="s">
        <v>202</v>
      </c>
      <c r="D106" s="3724">
        <v>100</v>
      </c>
      <c r="E106" s="3725"/>
      <c r="F106" s="22">
        <v>100</v>
      </c>
      <c r="G106" s="54">
        <v>100</v>
      </c>
    </row>
    <row r="107" spans="1:7" ht="41.25" customHeight="1" thickBot="1">
      <c r="A107" s="12" t="s">
        <v>619</v>
      </c>
      <c r="B107" s="18" t="s">
        <v>452</v>
      </c>
      <c r="C107" s="23" t="s">
        <v>314</v>
      </c>
      <c r="D107" s="3724">
        <v>99</v>
      </c>
      <c r="E107" s="3725"/>
      <c r="F107" s="22">
        <v>99</v>
      </c>
      <c r="G107" s="54">
        <v>99</v>
      </c>
    </row>
    <row r="108" spans="1:7" ht="32.25" customHeight="1" thickBot="1">
      <c r="A108" s="12" t="s">
        <v>536</v>
      </c>
      <c r="B108" s="3720" t="s">
        <v>453</v>
      </c>
      <c r="C108" s="23" t="s">
        <v>314</v>
      </c>
      <c r="D108" s="3724">
        <v>95</v>
      </c>
      <c r="E108" s="3725"/>
      <c r="F108" s="22">
        <v>100</v>
      </c>
      <c r="G108" s="54">
        <v>85</v>
      </c>
    </row>
    <row r="109" spans="1:7" ht="33" customHeight="1" thickBot="1">
      <c r="A109" s="12" t="s">
        <v>537</v>
      </c>
      <c r="B109" s="3728"/>
      <c r="C109" s="23" t="s">
        <v>202</v>
      </c>
      <c r="D109" s="3724">
        <v>20</v>
      </c>
      <c r="E109" s="3725"/>
      <c r="F109" s="22">
        <v>20</v>
      </c>
      <c r="G109" s="54">
        <v>17</v>
      </c>
    </row>
    <row r="110" spans="1:7" ht="33" customHeight="1" thickBot="1">
      <c r="A110" s="12" t="s">
        <v>538</v>
      </c>
      <c r="B110" s="3728"/>
      <c r="C110" s="23" t="s">
        <v>202</v>
      </c>
      <c r="D110" s="3724">
        <v>15</v>
      </c>
      <c r="E110" s="3725"/>
      <c r="F110" s="22">
        <v>14</v>
      </c>
      <c r="G110" s="54">
        <v>14</v>
      </c>
    </row>
    <row r="111" spans="1:7" ht="24" customHeight="1" thickBot="1">
      <c r="A111" s="12" t="s">
        <v>539</v>
      </c>
      <c r="B111" s="3721"/>
      <c r="C111" s="23" t="s">
        <v>202</v>
      </c>
      <c r="D111" s="3724">
        <v>0</v>
      </c>
      <c r="E111" s="3725"/>
      <c r="F111" s="22">
        <v>1</v>
      </c>
      <c r="G111" s="54">
        <v>0</v>
      </c>
    </row>
    <row r="112" spans="1:7" ht="36.75" customHeight="1" thickBot="1">
      <c r="A112" s="12" t="s">
        <v>540</v>
      </c>
      <c r="B112" s="3720" t="s">
        <v>293</v>
      </c>
      <c r="C112" s="23" t="s">
        <v>314</v>
      </c>
      <c r="D112" s="3724">
        <v>93</v>
      </c>
      <c r="E112" s="3725"/>
      <c r="F112" s="22">
        <v>97</v>
      </c>
      <c r="G112" s="54">
        <v>91</v>
      </c>
    </row>
    <row r="113" spans="1:7" ht="29.25" customHeight="1" thickBot="1">
      <c r="A113" s="12" t="s">
        <v>541</v>
      </c>
      <c r="B113" s="3728"/>
      <c r="C113" s="23" t="s">
        <v>202</v>
      </c>
      <c r="D113" s="3724">
        <v>53</v>
      </c>
      <c r="E113" s="3725"/>
      <c r="F113" s="22">
        <v>51</v>
      </c>
      <c r="G113" s="54">
        <v>55</v>
      </c>
    </row>
    <row r="114" spans="1:7" ht="32.25" customHeight="1" thickBot="1">
      <c r="A114" s="12" t="s">
        <v>542</v>
      </c>
      <c r="B114" s="3728"/>
      <c r="C114" s="23" t="s">
        <v>202</v>
      </c>
      <c r="D114" s="3724">
        <v>157</v>
      </c>
      <c r="E114" s="3725"/>
      <c r="F114" s="22">
        <v>159</v>
      </c>
      <c r="G114" s="54">
        <v>155</v>
      </c>
    </row>
    <row r="115" spans="1:7" ht="30.75" customHeight="1" thickBot="1">
      <c r="A115" s="12" t="s">
        <v>543</v>
      </c>
      <c r="B115" s="3728"/>
      <c r="C115" s="23" t="s">
        <v>202</v>
      </c>
      <c r="D115" s="3724">
        <v>187</v>
      </c>
      <c r="E115" s="3725"/>
      <c r="F115" s="22">
        <v>189</v>
      </c>
      <c r="G115" s="54">
        <v>185</v>
      </c>
    </row>
    <row r="116" spans="1:7" ht="30" customHeight="1" thickBot="1">
      <c r="A116" s="12" t="s">
        <v>620</v>
      </c>
      <c r="B116" s="3721"/>
      <c r="C116" s="23" t="s">
        <v>202</v>
      </c>
      <c r="D116" s="3724">
        <v>8</v>
      </c>
      <c r="E116" s="3725"/>
      <c r="F116" s="22">
        <v>8</v>
      </c>
      <c r="G116" s="54">
        <v>7</v>
      </c>
    </row>
    <row r="117" spans="1:7" ht="36" customHeight="1" thickBot="1">
      <c r="A117" s="35" t="s">
        <v>544</v>
      </c>
      <c r="B117" s="33" t="s">
        <v>184</v>
      </c>
      <c r="C117" s="38" t="s">
        <v>202</v>
      </c>
      <c r="D117" s="3724">
        <v>10</v>
      </c>
      <c r="E117" s="3725"/>
      <c r="F117" s="34">
        <v>10</v>
      </c>
      <c r="G117" s="54">
        <v>5</v>
      </c>
    </row>
    <row r="118" spans="1:7" ht="30.75" customHeight="1" thickBot="1">
      <c r="A118" s="12" t="s">
        <v>334</v>
      </c>
      <c r="B118" s="18" t="s">
        <v>185</v>
      </c>
      <c r="C118" s="23" t="s">
        <v>202</v>
      </c>
      <c r="D118" s="3724">
        <v>5</v>
      </c>
      <c r="E118" s="3725"/>
      <c r="F118" s="22">
        <v>5</v>
      </c>
      <c r="G118" s="54">
        <v>5</v>
      </c>
    </row>
    <row r="119" spans="1:7" ht="26.25" thickBot="1">
      <c r="A119" s="12" t="s">
        <v>545</v>
      </c>
      <c r="B119" s="18" t="s">
        <v>454</v>
      </c>
      <c r="C119" s="23" t="s">
        <v>202</v>
      </c>
      <c r="D119" s="3724">
        <v>10</v>
      </c>
      <c r="E119" s="3725"/>
      <c r="F119" s="22">
        <v>12</v>
      </c>
      <c r="G119" s="54">
        <v>7</v>
      </c>
    </row>
    <row r="120" spans="1:7" ht="27" customHeight="1" thickBot="1">
      <c r="A120" s="3699" t="s">
        <v>112</v>
      </c>
      <c r="B120" s="3700"/>
      <c r="C120" s="3700"/>
      <c r="D120" s="3700"/>
      <c r="E120" s="3701"/>
      <c r="F120" s="3701"/>
      <c r="G120" s="47"/>
    </row>
    <row r="121" spans="1:7" ht="14.25" thickBot="1">
      <c r="A121" s="3699" t="s">
        <v>200</v>
      </c>
      <c r="B121" s="3700"/>
      <c r="C121" s="3700"/>
      <c r="D121" s="3700"/>
      <c r="E121" s="3701"/>
      <c r="F121" s="3701"/>
      <c r="G121" s="47"/>
    </row>
    <row r="122" spans="1:7" ht="26.25" thickBot="1">
      <c r="A122" s="7" t="s">
        <v>621</v>
      </c>
      <c r="B122" s="8" t="s">
        <v>66</v>
      </c>
      <c r="C122" s="9" t="s">
        <v>314</v>
      </c>
      <c r="D122" s="3681">
        <v>30</v>
      </c>
      <c r="E122" s="3682"/>
      <c r="F122" s="10">
        <v>30</v>
      </c>
      <c r="G122" s="45">
        <v>30</v>
      </c>
    </row>
    <row r="123" spans="1:7" ht="35.25" customHeight="1" thickBot="1">
      <c r="A123" s="3703" t="s">
        <v>508</v>
      </c>
      <c r="B123" s="3704"/>
      <c r="C123" s="3704"/>
      <c r="D123" s="3704"/>
      <c r="E123" s="3705"/>
      <c r="F123" s="3705"/>
      <c r="G123" s="49"/>
    </row>
    <row r="124" spans="1:7" ht="13.5" thickBot="1">
      <c r="A124" s="13" t="s">
        <v>622</v>
      </c>
      <c r="B124" s="8" t="s">
        <v>67</v>
      </c>
      <c r="C124" s="9" t="s">
        <v>202</v>
      </c>
      <c r="D124" s="3681">
        <v>17</v>
      </c>
      <c r="E124" s="3682"/>
      <c r="F124" s="10">
        <v>20</v>
      </c>
      <c r="G124" s="45">
        <v>15</v>
      </c>
    </row>
    <row r="125" spans="1:7" ht="31.5" customHeight="1" thickBot="1">
      <c r="A125" s="3683" t="s">
        <v>319</v>
      </c>
      <c r="B125" s="3684"/>
      <c r="C125" s="3684"/>
      <c r="D125" s="3684"/>
      <c r="E125" s="3685"/>
      <c r="F125" s="3685"/>
      <c r="G125" s="46"/>
    </row>
    <row r="126" spans="1:7" ht="27" customHeight="1" thickBot="1">
      <c r="A126" s="3699" t="s">
        <v>302</v>
      </c>
      <c r="B126" s="3700"/>
      <c r="C126" s="3700"/>
      <c r="D126" s="3700"/>
      <c r="E126" s="3701"/>
      <c r="F126" s="3701"/>
      <c r="G126" s="47"/>
    </row>
    <row r="127" spans="1:7" ht="14.25" thickBot="1">
      <c r="A127" s="3699" t="s">
        <v>200</v>
      </c>
      <c r="B127" s="3700"/>
      <c r="C127" s="3700"/>
      <c r="D127" s="3700"/>
      <c r="E127" s="3701"/>
      <c r="F127" s="3701"/>
      <c r="G127" s="47"/>
    </row>
    <row r="128" spans="1:7" ht="13.5" thickBot="1">
      <c r="A128" s="7" t="s">
        <v>623</v>
      </c>
      <c r="B128" s="18" t="s">
        <v>338</v>
      </c>
      <c r="C128" s="9" t="s">
        <v>202</v>
      </c>
      <c r="D128" s="3681">
        <v>45</v>
      </c>
      <c r="E128" s="3682"/>
      <c r="F128" s="10">
        <v>45</v>
      </c>
      <c r="G128" s="45">
        <v>45</v>
      </c>
    </row>
    <row r="129" spans="1:7" ht="13.5" thickBot="1">
      <c r="A129" s="7" t="s">
        <v>572</v>
      </c>
      <c r="B129" s="18" t="s">
        <v>222</v>
      </c>
      <c r="C129" s="9" t="s">
        <v>202</v>
      </c>
      <c r="D129" s="3681">
        <v>3000</v>
      </c>
      <c r="E129" s="3682"/>
      <c r="F129" s="10">
        <v>3000</v>
      </c>
      <c r="G129" s="45">
        <v>3000</v>
      </c>
    </row>
    <row r="130" spans="1:7" ht="13.5" thickBot="1">
      <c r="A130" s="3694" t="s">
        <v>73</v>
      </c>
      <c r="B130" s="3695"/>
      <c r="C130" s="3695"/>
      <c r="D130" s="3695"/>
      <c r="E130" s="3696"/>
      <c r="F130" s="3696"/>
      <c r="G130" s="48"/>
    </row>
    <row r="131" spans="1:7" ht="27" customHeight="1" thickBot="1">
      <c r="A131" s="3703" t="s">
        <v>278</v>
      </c>
      <c r="B131" s="3704"/>
      <c r="C131" s="3704"/>
      <c r="D131" s="3704"/>
      <c r="E131" s="3705"/>
      <c r="F131" s="3705"/>
      <c r="G131" s="49"/>
    </row>
    <row r="132" spans="1:7" ht="13.5" thickBot="1">
      <c r="A132" s="11" t="s">
        <v>419</v>
      </c>
      <c r="B132" s="18" t="s">
        <v>420</v>
      </c>
      <c r="C132" s="9" t="s">
        <v>202</v>
      </c>
      <c r="D132" s="3681">
        <v>750</v>
      </c>
      <c r="E132" s="3682"/>
      <c r="F132" s="10">
        <v>750</v>
      </c>
      <c r="G132" s="45">
        <v>750</v>
      </c>
    </row>
    <row r="133" spans="1:7" ht="54" customHeight="1" thickBot="1">
      <c r="A133" s="3703" t="s">
        <v>421</v>
      </c>
      <c r="B133" s="3704"/>
      <c r="C133" s="3704"/>
      <c r="D133" s="3704"/>
      <c r="E133" s="3705"/>
      <c r="F133" s="3705"/>
      <c r="G133" s="49"/>
    </row>
    <row r="134" spans="1:7" ht="13.5" thickBot="1">
      <c r="A134" s="13" t="s">
        <v>623</v>
      </c>
      <c r="B134" s="18" t="s">
        <v>22</v>
      </c>
      <c r="C134" s="9" t="s">
        <v>202</v>
      </c>
      <c r="D134" s="3681">
        <v>45</v>
      </c>
      <c r="E134" s="3682"/>
      <c r="F134" s="10">
        <v>45</v>
      </c>
      <c r="G134" s="45">
        <v>45</v>
      </c>
    </row>
    <row r="135" spans="1:7" ht="26.25" thickBot="1">
      <c r="A135" s="13" t="s">
        <v>350</v>
      </c>
      <c r="B135" s="18" t="s">
        <v>412</v>
      </c>
      <c r="C135" s="9" t="s">
        <v>314</v>
      </c>
      <c r="D135" s="3681">
        <v>80</v>
      </c>
      <c r="E135" s="3682"/>
      <c r="F135" s="10">
        <v>80</v>
      </c>
      <c r="G135" s="45">
        <v>80</v>
      </c>
    </row>
    <row r="136" spans="1:7" ht="13.5" thickBot="1">
      <c r="A136" s="13" t="s">
        <v>380</v>
      </c>
      <c r="B136" s="18" t="s">
        <v>361</v>
      </c>
      <c r="C136" s="9" t="s">
        <v>202</v>
      </c>
      <c r="D136" s="3681">
        <v>150</v>
      </c>
      <c r="E136" s="3682"/>
      <c r="F136" s="10">
        <v>150</v>
      </c>
      <c r="G136" s="45">
        <v>150</v>
      </c>
    </row>
    <row r="137" spans="1:7" ht="13.5" thickBot="1">
      <c r="A137" s="13" t="s">
        <v>624</v>
      </c>
      <c r="B137" s="18" t="s">
        <v>104</v>
      </c>
      <c r="C137" s="9" t="s">
        <v>105</v>
      </c>
      <c r="D137" s="3681">
        <v>1</v>
      </c>
      <c r="E137" s="3682"/>
      <c r="F137" s="10">
        <v>1</v>
      </c>
      <c r="G137" s="45">
        <v>1</v>
      </c>
    </row>
    <row r="138" spans="1:7" ht="13.5" thickBot="1">
      <c r="A138" s="13" t="s">
        <v>625</v>
      </c>
      <c r="B138" s="18" t="s">
        <v>106</v>
      </c>
      <c r="C138" s="9" t="s">
        <v>202</v>
      </c>
      <c r="D138" s="3681">
        <v>2</v>
      </c>
      <c r="E138" s="3682"/>
      <c r="F138" s="10">
        <v>2</v>
      </c>
      <c r="G138" s="45">
        <v>2</v>
      </c>
    </row>
    <row r="139" spans="1:7" ht="13.5" thickBot="1">
      <c r="A139" s="13" t="s">
        <v>626</v>
      </c>
      <c r="B139" s="18" t="s">
        <v>510</v>
      </c>
      <c r="C139" s="9" t="s">
        <v>202</v>
      </c>
      <c r="D139" s="3681">
        <v>50</v>
      </c>
      <c r="E139" s="3682"/>
      <c r="F139" s="10">
        <v>50</v>
      </c>
      <c r="G139" s="45">
        <v>50</v>
      </c>
    </row>
    <row r="140" spans="1:7" ht="26.25" thickBot="1">
      <c r="A140" s="13" t="s">
        <v>627</v>
      </c>
      <c r="B140" s="18" t="s">
        <v>511</v>
      </c>
      <c r="C140" s="9" t="s">
        <v>202</v>
      </c>
      <c r="D140" s="3729">
        <v>7000</v>
      </c>
      <c r="E140" s="3730"/>
      <c r="F140" s="24">
        <v>7000</v>
      </c>
      <c r="G140" s="55">
        <v>7000</v>
      </c>
    </row>
    <row r="141" spans="1:7" ht="47.25" customHeight="1" thickBot="1">
      <c r="A141" s="3683" t="s">
        <v>16</v>
      </c>
      <c r="B141" s="3684"/>
      <c r="C141" s="3684"/>
      <c r="D141" s="3684"/>
      <c r="E141" s="3685"/>
      <c r="F141" s="3685"/>
      <c r="G141" s="46"/>
    </row>
    <row r="142" spans="1:7" ht="27" customHeight="1" thickBot="1">
      <c r="A142" s="3699" t="s">
        <v>264</v>
      </c>
      <c r="B142" s="3700"/>
      <c r="C142" s="3700"/>
      <c r="D142" s="3700"/>
      <c r="E142" s="3701"/>
      <c r="F142" s="3701"/>
      <c r="G142" s="47"/>
    </row>
    <row r="143" spans="1:7" ht="14.25" thickBot="1">
      <c r="A143" s="3699" t="s">
        <v>200</v>
      </c>
      <c r="B143" s="3700"/>
      <c r="C143" s="3700"/>
      <c r="D143" s="3700"/>
      <c r="E143" s="3701"/>
      <c r="F143" s="3701"/>
      <c r="G143" s="47"/>
    </row>
    <row r="144" spans="1:7" ht="13.5" thickBot="1">
      <c r="A144" s="7" t="s">
        <v>628</v>
      </c>
      <c r="B144" s="18" t="s">
        <v>388</v>
      </c>
      <c r="C144" s="9" t="s">
        <v>202</v>
      </c>
      <c r="D144" s="3681">
        <v>350</v>
      </c>
      <c r="E144" s="3682"/>
      <c r="F144" s="10">
        <v>300</v>
      </c>
      <c r="G144" s="45">
        <v>450</v>
      </c>
    </row>
    <row r="145" spans="1:7" ht="13.5" thickBot="1">
      <c r="A145" s="7" t="s">
        <v>170</v>
      </c>
      <c r="B145" s="18" t="s">
        <v>389</v>
      </c>
      <c r="C145" s="9" t="s">
        <v>202</v>
      </c>
      <c r="D145" s="3681">
        <v>17</v>
      </c>
      <c r="E145" s="3682"/>
      <c r="F145" s="10">
        <v>20</v>
      </c>
      <c r="G145" s="45">
        <v>15</v>
      </c>
    </row>
    <row r="146" spans="1:7" ht="26.25" thickBot="1">
      <c r="A146" s="7" t="s">
        <v>546</v>
      </c>
      <c r="B146" s="18" t="s">
        <v>390</v>
      </c>
      <c r="C146" s="9" t="s">
        <v>202</v>
      </c>
      <c r="D146" s="3681">
        <v>3</v>
      </c>
      <c r="E146" s="3682"/>
      <c r="F146" s="10">
        <v>3</v>
      </c>
      <c r="G146" s="45">
        <v>2</v>
      </c>
    </row>
    <row r="147" spans="1:7" ht="13.5" thickBot="1">
      <c r="A147" s="7" t="s">
        <v>547</v>
      </c>
      <c r="B147" s="18" t="s">
        <v>548</v>
      </c>
      <c r="C147" s="9" t="s">
        <v>314</v>
      </c>
      <c r="D147" s="3681">
        <v>45</v>
      </c>
      <c r="E147" s="3682"/>
      <c r="F147" s="10">
        <v>50</v>
      </c>
      <c r="G147" s="45">
        <v>40</v>
      </c>
    </row>
    <row r="148" spans="1:7" ht="13.5" thickBot="1">
      <c r="A148" s="3694" t="s">
        <v>73</v>
      </c>
      <c r="B148" s="3695"/>
      <c r="C148" s="3695"/>
      <c r="D148" s="3695"/>
      <c r="E148" s="3696"/>
      <c r="F148" s="3696"/>
      <c r="G148" s="48"/>
    </row>
    <row r="149" spans="1:7" ht="27" customHeight="1" thickBot="1">
      <c r="A149" s="3703" t="s">
        <v>231</v>
      </c>
      <c r="B149" s="3704"/>
      <c r="C149" s="3704"/>
      <c r="D149" s="3704"/>
      <c r="E149" s="3705"/>
      <c r="F149" s="3705"/>
      <c r="G149" s="49"/>
    </row>
    <row r="150" spans="1:7" ht="13.5" thickBot="1">
      <c r="A150" s="13" t="s">
        <v>629</v>
      </c>
      <c r="B150" s="18" t="s">
        <v>387</v>
      </c>
      <c r="C150" s="9" t="s">
        <v>202</v>
      </c>
      <c r="D150" s="3681">
        <v>2800</v>
      </c>
      <c r="E150" s="3682"/>
      <c r="F150" s="10">
        <v>3000</v>
      </c>
      <c r="G150" s="45">
        <v>2750</v>
      </c>
    </row>
    <row r="151" spans="1:7" ht="13.5" thickBot="1">
      <c r="A151" s="13" t="s">
        <v>630</v>
      </c>
      <c r="B151" s="18" t="s">
        <v>425</v>
      </c>
      <c r="C151" s="9" t="s">
        <v>202</v>
      </c>
      <c r="D151" s="3681">
        <v>550</v>
      </c>
      <c r="E151" s="3682"/>
      <c r="F151" s="10">
        <v>600</v>
      </c>
      <c r="G151" s="45">
        <v>500</v>
      </c>
    </row>
    <row r="152" spans="1:7" ht="13.5" thickBot="1">
      <c r="A152" s="13" t="s">
        <v>172</v>
      </c>
      <c r="B152" s="18" t="s">
        <v>65</v>
      </c>
      <c r="C152" s="9" t="s">
        <v>577</v>
      </c>
      <c r="D152" s="3681">
        <v>150</v>
      </c>
      <c r="E152" s="3682"/>
      <c r="F152" s="10">
        <v>150</v>
      </c>
      <c r="G152" s="45">
        <v>50</v>
      </c>
    </row>
    <row r="153" spans="1:7" ht="13.5" thickBot="1">
      <c r="A153" s="13" t="s">
        <v>161</v>
      </c>
      <c r="B153" s="18" t="s">
        <v>171</v>
      </c>
      <c r="C153" s="9" t="s">
        <v>576</v>
      </c>
      <c r="D153" s="3681">
        <v>51000</v>
      </c>
      <c r="E153" s="3682"/>
      <c r="F153" s="10">
        <v>53000</v>
      </c>
      <c r="G153" s="45">
        <v>50000</v>
      </c>
    </row>
    <row r="154" spans="1:7" ht="54" customHeight="1" thickBot="1">
      <c r="A154" s="3731" t="s">
        <v>631</v>
      </c>
      <c r="B154" s="3732"/>
      <c r="C154" s="3732"/>
      <c r="D154" s="3732"/>
      <c r="E154" s="3701"/>
      <c r="F154" s="3701"/>
      <c r="G154" s="47"/>
    </row>
    <row r="155" spans="1:7" ht="14.25" thickBot="1">
      <c r="A155" s="3699" t="s">
        <v>200</v>
      </c>
      <c r="B155" s="3700"/>
      <c r="C155" s="3700"/>
      <c r="D155" s="3700"/>
      <c r="E155" s="3701"/>
      <c r="F155" s="3701"/>
      <c r="G155" s="47"/>
    </row>
    <row r="156" spans="1:7" ht="13.5" thickBot="1">
      <c r="A156" s="7" t="s">
        <v>162</v>
      </c>
      <c r="B156" s="18" t="s">
        <v>440</v>
      </c>
      <c r="C156" s="9" t="s">
        <v>202</v>
      </c>
      <c r="D156" s="3681">
        <v>7</v>
      </c>
      <c r="E156" s="3682"/>
      <c r="F156" s="10">
        <v>7</v>
      </c>
      <c r="G156" s="45">
        <v>7</v>
      </c>
    </row>
    <row r="157" spans="1:7" ht="13.5" thickBot="1">
      <c r="A157" s="7" t="s">
        <v>163</v>
      </c>
      <c r="B157" s="18" t="s">
        <v>42</v>
      </c>
      <c r="C157" s="9" t="s">
        <v>202</v>
      </c>
      <c r="D157" s="3681">
        <v>1500</v>
      </c>
      <c r="E157" s="3682"/>
      <c r="F157" s="10">
        <v>1500</v>
      </c>
      <c r="G157" s="45">
        <v>800</v>
      </c>
    </row>
    <row r="158" spans="1:7" ht="13.5" thickBot="1">
      <c r="A158" s="3694" t="s">
        <v>73</v>
      </c>
      <c r="B158" s="3695"/>
      <c r="C158" s="3695"/>
      <c r="D158" s="3695"/>
      <c r="E158" s="3696"/>
      <c r="F158" s="3696"/>
      <c r="G158" s="48"/>
    </row>
    <row r="159" spans="1:7" ht="27" customHeight="1" thickBot="1">
      <c r="A159" s="3703" t="s">
        <v>234</v>
      </c>
      <c r="B159" s="3704"/>
      <c r="C159" s="3704"/>
      <c r="D159" s="3704"/>
      <c r="E159" s="3705"/>
      <c r="F159" s="3705"/>
      <c r="G159" s="49"/>
    </row>
    <row r="160" spans="1:7" ht="13.5" thickBot="1">
      <c r="A160" s="12" t="s">
        <v>588</v>
      </c>
      <c r="B160" s="18" t="s">
        <v>141</v>
      </c>
      <c r="C160" s="9" t="s">
        <v>202</v>
      </c>
      <c r="D160" s="3681">
        <v>140</v>
      </c>
      <c r="E160" s="3682"/>
      <c r="F160" s="10">
        <v>120</v>
      </c>
      <c r="G160" s="45">
        <v>150</v>
      </c>
    </row>
    <row r="161" spans="1:7" ht="13.5" thickBot="1">
      <c r="A161" s="11" t="s">
        <v>589</v>
      </c>
      <c r="B161" s="18" t="s">
        <v>464</v>
      </c>
      <c r="C161" s="9" t="s">
        <v>202</v>
      </c>
      <c r="D161" s="3681">
        <v>35</v>
      </c>
      <c r="E161" s="3682"/>
      <c r="F161" s="10">
        <v>40</v>
      </c>
      <c r="G161" s="45">
        <v>30</v>
      </c>
    </row>
    <row r="162" spans="1:7" ht="13.5" thickBot="1">
      <c r="A162" s="13" t="s">
        <v>632</v>
      </c>
      <c r="B162" s="18" t="s">
        <v>85</v>
      </c>
      <c r="C162" s="9" t="s">
        <v>202</v>
      </c>
      <c r="D162" s="3681">
        <v>20</v>
      </c>
      <c r="E162" s="3682"/>
      <c r="F162" s="10">
        <v>20</v>
      </c>
      <c r="G162" s="45">
        <v>25</v>
      </c>
    </row>
    <row r="163" spans="1:7" ht="13.5" thickBot="1">
      <c r="A163" s="13" t="s">
        <v>549</v>
      </c>
      <c r="B163" s="18" t="s">
        <v>120</v>
      </c>
      <c r="C163" s="9" t="s">
        <v>577</v>
      </c>
      <c r="D163" s="3681">
        <v>20</v>
      </c>
      <c r="E163" s="3682"/>
      <c r="F163" s="10">
        <v>20</v>
      </c>
      <c r="G163" s="45">
        <v>18</v>
      </c>
    </row>
    <row r="164" spans="1:7" ht="13.5" thickBot="1">
      <c r="A164" s="11" t="s">
        <v>119</v>
      </c>
      <c r="B164" s="18" t="s">
        <v>121</v>
      </c>
      <c r="C164" s="9" t="s">
        <v>202</v>
      </c>
      <c r="D164" s="3681">
        <v>0</v>
      </c>
      <c r="E164" s="3682"/>
      <c r="F164" s="10">
        <v>2</v>
      </c>
      <c r="G164" s="45">
        <v>9</v>
      </c>
    </row>
    <row r="165" spans="1:7" ht="67.5" customHeight="1" thickBot="1">
      <c r="A165" s="3703" t="s">
        <v>329</v>
      </c>
      <c r="B165" s="3704"/>
      <c r="C165" s="3704"/>
      <c r="D165" s="3704"/>
      <c r="E165" s="3705"/>
      <c r="F165" s="3705"/>
      <c r="G165" s="49"/>
    </row>
    <row r="166" spans="1:7" ht="13.5" thickBot="1">
      <c r="A166" s="13" t="s">
        <v>86</v>
      </c>
      <c r="B166" s="18" t="s">
        <v>87</v>
      </c>
      <c r="C166" s="9" t="s">
        <v>202</v>
      </c>
      <c r="D166" s="3681">
        <v>20</v>
      </c>
      <c r="E166" s="3682"/>
      <c r="F166" s="10">
        <v>23</v>
      </c>
      <c r="G166" s="45">
        <v>18</v>
      </c>
    </row>
    <row r="167" spans="1:7" ht="26.25" thickBot="1">
      <c r="A167" s="13" t="s">
        <v>122</v>
      </c>
      <c r="B167" s="18" t="s">
        <v>88</v>
      </c>
      <c r="C167" s="9" t="s">
        <v>202</v>
      </c>
      <c r="D167" s="3681">
        <v>10</v>
      </c>
      <c r="E167" s="3682"/>
      <c r="F167" s="10">
        <v>10</v>
      </c>
      <c r="G167" s="45">
        <v>10</v>
      </c>
    </row>
    <row r="168" spans="1:7" ht="26.25" thickBot="1">
      <c r="A168" s="13" t="s">
        <v>123</v>
      </c>
      <c r="B168" s="18" t="s">
        <v>89</v>
      </c>
      <c r="C168" s="9" t="s">
        <v>202</v>
      </c>
      <c r="D168" s="3681">
        <v>25</v>
      </c>
      <c r="E168" s="3682"/>
      <c r="F168" s="10">
        <v>25</v>
      </c>
      <c r="G168" s="45">
        <v>25</v>
      </c>
    </row>
    <row r="169" spans="1:7" ht="26.25" thickBot="1">
      <c r="A169" s="13" t="s">
        <v>124</v>
      </c>
      <c r="B169" s="18" t="s">
        <v>90</v>
      </c>
      <c r="C169" s="9" t="s">
        <v>202</v>
      </c>
      <c r="D169" s="3681">
        <v>10</v>
      </c>
      <c r="E169" s="3682"/>
      <c r="F169" s="10">
        <v>10</v>
      </c>
      <c r="G169" s="45">
        <v>10</v>
      </c>
    </row>
    <row r="170" spans="1:7" ht="13.5" thickBot="1">
      <c r="A170" s="13" t="s">
        <v>365</v>
      </c>
      <c r="B170" s="18" t="s">
        <v>91</v>
      </c>
      <c r="C170" s="9" t="s">
        <v>202</v>
      </c>
      <c r="D170" s="3681">
        <v>20</v>
      </c>
      <c r="E170" s="3682"/>
      <c r="F170" s="10">
        <v>30</v>
      </c>
      <c r="G170" s="45">
        <v>15</v>
      </c>
    </row>
    <row r="171" spans="1:7" ht="31.5" customHeight="1" thickBot="1">
      <c r="A171" s="3683" t="s">
        <v>80</v>
      </c>
      <c r="B171" s="3684"/>
      <c r="C171" s="3684"/>
      <c r="D171" s="3684"/>
      <c r="E171" s="3685"/>
      <c r="F171" s="3685"/>
      <c r="G171" s="46"/>
    </row>
    <row r="172" spans="1:7" ht="40.5" customHeight="1" thickBot="1">
      <c r="A172" s="3699" t="s">
        <v>633</v>
      </c>
      <c r="B172" s="3700"/>
      <c r="C172" s="3700"/>
      <c r="D172" s="3700"/>
      <c r="E172" s="3701"/>
      <c r="F172" s="3701"/>
      <c r="G172" s="47"/>
    </row>
    <row r="173" spans="1:7" ht="14.25" thickBot="1">
      <c r="A173" s="3699" t="s">
        <v>200</v>
      </c>
      <c r="B173" s="3700"/>
      <c r="C173" s="3700"/>
      <c r="D173" s="3700"/>
      <c r="E173" s="3701"/>
      <c r="F173" s="3701"/>
      <c r="G173" s="47"/>
    </row>
    <row r="174" spans="1:7" ht="41.25" customHeight="1" thickBot="1">
      <c r="A174" s="31" t="s">
        <v>132</v>
      </c>
      <c r="B174" s="40" t="s">
        <v>465</v>
      </c>
      <c r="C174" s="41" t="s">
        <v>314</v>
      </c>
      <c r="D174" s="39">
        <v>85</v>
      </c>
      <c r="E174" s="32"/>
      <c r="F174" s="39">
        <v>85</v>
      </c>
      <c r="G174" s="56">
        <v>85</v>
      </c>
    </row>
    <row r="175" spans="1:7" ht="13.5" thickBot="1">
      <c r="A175" s="3694" t="s">
        <v>73</v>
      </c>
      <c r="B175" s="3695"/>
      <c r="C175" s="3695"/>
      <c r="D175" s="3695"/>
      <c r="E175" s="3696"/>
      <c r="F175" s="3696"/>
      <c r="G175" s="48"/>
    </row>
    <row r="176" spans="1:7" ht="27" customHeight="1" thickBot="1">
      <c r="A176" s="3703" t="s">
        <v>303</v>
      </c>
      <c r="B176" s="3704"/>
      <c r="C176" s="3704"/>
      <c r="D176" s="3704"/>
      <c r="E176" s="3705"/>
      <c r="F176" s="3705"/>
      <c r="G176" s="49"/>
    </row>
    <row r="177" spans="1:7" ht="13.5" thickBot="1">
      <c r="A177" s="13" t="s">
        <v>62</v>
      </c>
      <c r="B177" s="8" t="s">
        <v>594</v>
      </c>
      <c r="C177" s="9" t="s">
        <v>202</v>
      </c>
      <c r="D177" s="3681">
        <v>7</v>
      </c>
      <c r="E177" s="3682"/>
      <c r="F177" s="10">
        <v>8</v>
      </c>
      <c r="G177" s="45">
        <v>7</v>
      </c>
    </row>
    <row r="178" spans="1:7" ht="26.25" thickBot="1">
      <c r="A178" s="13" t="s">
        <v>133</v>
      </c>
      <c r="B178" s="8" t="s">
        <v>0</v>
      </c>
      <c r="C178" s="9" t="s">
        <v>202</v>
      </c>
      <c r="D178" s="3681">
        <v>14</v>
      </c>
      <c r="E178" s="3682"/>
      <c r="F178" s="10">
        <v>14</v>
      </c>
      <c r="G178" s="45">
        <v>14</v>
      </c>
    </row>
    <row r="179" spans="1:7" ht="13.5" thickBot="1">
      <c r="A179" s="13" t="s">
        <v>367</v>
      </c>
      <c r="B179" s="8" t="s">
        <v>368</v>
      </c>
      <c r="C179" s="9" t="s">
        <v>202</v>
      </c>
      <c r="D179" s="3681">
        <v>2</v>
      </c>
      <c r="E179" s="3682"/>
      <c r="F179" s="10">
        <v>2</v>
      </c>
      <c r="G179" s="45">
        <v>1</v>
      </c>
    </row>
    <row r="180" spans="1:7" ht="40.5" customHeight="1" thickBot="1">
      <c r="A180" s="3699" t="s">
        <v>304</v>
      </c>
      <c r="B180" s="3700"/>
      <c r="C180" s="3700"/>
      <c r="D180" s="3700"/>
      <c r="E180" s="3701"/>
      <c r="F180" s="3701"/>
      <c r="G180" s="47"/>
    </row>
    <row r="181" spans="1:7" ht="14.25" thickBot="1">
      <c r="A181" s="3699" t="s">
        <v>200</v>
      </c>
      <c r="B181" s="3700"/>
      <c r="C181" s="3700"/>
      <c r="D181" s="3700"/>
      <c r="E181" s="3701"/>
      <c r="F181" s="3701"/>
      <c r="G181" s="47"/>
    </row>
    <row r="182" spans="1:7" ht="34.5" customHeight="1" thickBot="1">
      <c r="A182" s="3706" t="s">
        <v>634</v>
      </c>
      <c r="B182" s="18" t="s">
        <v>595</v>
      </c>
      <c r="C182" s="9" t="s">
        <v>202</v>
      </c>
      <c r="D182" s="3681">
        <v>2</v>
      </c>
      <c r="E182" s="3682"/>
      <c r="F182" s="10">
        <v>3</v>
      </c>
      <c r="G182" s="45">
        <v>2</v>
      </c>
    </row>
    <row r="183" spans="1:7" ht="13.5" thickBot="1">
      <c r="A183" s="3708"/>
      <c r="B183" s="18" t="s">
        <v>596</v>
      </c>
      <c r="C183" s="9" t="s">
        <v>202</v>
      </c>
      <c r="D183" s="3681">
        <v>24</v>
      </c>
      <c r="E183" s="3682"/>
      <c r="F183" s="10">
        <v>36</v>
      </c>
      <c r="G183" s="45">
        <v>24</v>
      </c>
    </row>
    <row r="184" spans="1:7" ht="13.5" thickBot="1">
      <c r="A184" s="3694" t="s">
        <v>73</v>
      </c>
      <c r="B184" s="3695"/>
      <c r="C184" s="3695"/>
      <c r="D184" s="3695"/>
      <c r="E184" s="3696"/>
      <c r="F184" s="3696"/>
      <c r="G184" s="48"/>
    </row>
    <row r="185" spans="1:7" ht="40.5" customHeight="1" thickBot="1">
      <c r="A185" s="3703" t="s">
        <v>186</v>
      </c>
      <c r="B185" s="3704"/>
      <c r="C185" s="3704"/>
      <c r="D185" s="3704"/>
      <c r="E185" s="3705"/>
      <c r="F185" s="3705"/>
      <c r="G185" s="49"/>
    </row>
    <row r="186" spans="1:7" ht="26.25" thickBot="1">
      <c r="A186" s="13" t="s">
        <v>635</v>
      </c>
      <c r="B186" s="8" t="s">
        <v>552</v>
      </c>
      <c r="C186" s="9" t="s">
        <v>202</v>
      </c>
      <c r="D186" s="3681">
        <v>6</v>
      </c>
      <c r="E186" s="3682"/>
      <c r="F186" s="10">
        <v>8</v>
      </c>
      <c r="G186" s="45">
        <v>6</v>
      </c>
    </row>
    <row r="187" spans="1:7" ht="26.25" thickBot="1">
      <c r="A187" s="13" t="s">
        <v>35</v>
      </c>
      <c r="B187" s="8" t="s">
        <v>36</v>
      </c>
      <c r="C187" s="9" t="s">
        <v>202</v>
      </c>
      <c r="D187" s="3681">
        <v>2</v>
      </c>
      <c r="E187" s="3682"/>
      <c r="F187" s="10">
        <v>3</v>
      </c>
      <c r="G187" s="45">
        <v>2</v>
      </c>
    </row>
    <row r="188" spans="1:7" ht="14.25" thickBot="1">
      <c r="A188" s="3699" t="s">
        <v>348</v>
      </c>
      <c r="B188" s="3700"/>
      <c r="C188" s="3700"/>
      <c r="D188" s="3700"/>
      <c r="E188" s="3701"/>
      <c r="F188" s="3701"/>
      <c r="G188" s="47"/>
    </row>
    <row r="189" spans="1:7" ht="14.25" thickBot="1">
      <c r="A189" s="3699" t="s">
        <v>200</v>
      </c>
      <c r="B189" s="3700"/>
      <c r="C189" s="3700"/>
      <c r="D189" s="3700"/>
      <c r="E189" s="3701"/>
      <c r="F189" s="3701"/>
      <c r="G189" s="47"/>
    </row>
    <row r="190" spans="1:7" ht="13.5" thickBot="1">
      <c r="A190" s="7" t="s">
        <v>187</v>
      </c>
      <c r="B190" s="8" t="s">
        <v>305</v>
      </c>
      <c r="C190" s="9" t="s">
        <v>314</v>
      </c>
      <c r="D190" s="3718">
        <v>2</v>
      </c>
      <c r="E190" s="3719"/>
      <c r="F190" s="16">
        <v>2</v>
      </c>
      <c r="G190" s="51">
        <v>2</v>
      </c>
    </row>
    <row r="191" spans="1:7" ht="26.25" thickBot="1">
      <c r="A191" s="7" t="s">
        <v>636</v>
      </c>
      <c r="B191" s="8" t="s">
        <v>188</v>
      </c>
      <c r="C191" s="9" t="s">
        <v>202</v>
      </c>
      <c r="D191" s="3681">
        <v>50</v>
      </c>
      <c r="E191" s="3682"/>
      <c r="F191" s="10">
        <v>50</v>
      </c>
      <c r="G191" s="45">
        <v>50</v>
      </c>
    </row>
    <row r="192" spans="1:7" ht="13.5" thickBot="1">
      <c r="A192" s="7" t="s">
        <v>575</v>
      </c>
      <c r="B192" s="8" t="s">
        <v>476</v>
      </c>
      <c r="C192" s="9" t="s">
        <v>314</v>
      </c>
      <c r="D192" s="3681">
        <v>100</v>
      </c>
      <c r="E192" s="3682"/>
      <c r="F192" s="10">
        <v>100</v>
      </c>
      <c r="G192" s="45">
        <v>100</v>
      </c>
    </row>
    <row r="193" spans="1:7" ht="13.5" thickBot="1">
      <c r="A193" s="7" t="s">
        <v>637</v>
      </c>
      <c r="B193" s="8" t="s">
        <v>492</v>
      </c>
      <c r="C193" s="9" t="s">
        <v>202</v>
      </c>
      <c r="D193" s="3681">
        <v>5</v>
      </c>
      <c r="E193" s="3682"/>
      <c r="F193" s="10">
        <v>5</v>
      </c>
      <c r="G193" s="45">
        <v>5</v>
      </c>
    </row>
    <row r="194" spans="1:7" ht="13.5" thickBot="1">
      <c r="A194" s="3694" t="s">
        <v>73</v>
      </c>
      <c r="B194" s="3695"/>
      <c r="C194" s="3695"/>
      <c r="D194" s="3695"/>
      <c r="E194" s="3696"/>
      <c r="F194" s="3696"/>
      <c r="G194" s="48"/>
    </row>
    <row r="195" spans="1:7" ht="27" customHeight="1" thickBot="1">
      <c r="A195" s="3703" t="s">
        <v>297</v>
      </c>
      <c r="B195" s="3704"/>
      <c r="C195" s="3704"/>
      <c r="D195" s="3704"/>
      <c r="E195" s="3705"/>
      <c r="F195" s="3705"/>
      <c r="G195" s="49"/>
    </row>
    <row r="196" spans="1:7" ht="13.5" thickBot="1">
      <c r="A196" s="13" t="s">
        <v>220</v>
      </c>
      <c r="B196" s="8" t="s">
        <v>346</v>
      </c>
      <c r="C196" s="9" t="s">
        <v>202</v>
      </c>
      <c r="D196" s="3681">
        <v>4</v>
      </c>
      <c r="E196" s="3682"/>
      <c r="F196" s="10">
        <v>4</v>
      </c>
      <c r="G196" s="45">
        <v>3</v>
      </c>
    </row>
    <row r="197" spans="1:7" ht="13.5" thickBot="1">
      <c r="A197" s="13" t="s">
        <v>27</v>
      </c>
      <c r="B197" s="8" t="s">
        <v>70</v>
      </c>
      <c r="C197" s="9" t="s">
        <v>176</v>
      </c>
      <c r="D197" s="3681" t="s">
        <v>586</v>
      </c>
      <c r="E197" s="3682"/>
      <c r="F197" s="10" t="s">
        <v>586</v>
      </c>
      <c r="G197" s="45" t="s">
        <v>586</v>
      </c>
    </row>
    <row r="198" spans="1:7" ht="26.25" thickBot="1">
      <c r="A198" s="13" t="s">
        <v>638</v>
      </c>
      <c r="B198" s="8" t="s">
        <v>639</v>
      </c>
      <c r="C198" s="9" t="s">
        <v>202</v>
      </c>
      <c r="D198" s="3681">
        <v>3</v>
      </c>
      <c r="E198" s="3682"/>
      <c r="F198" s="10">
        <v>4</v>
      </c>
      <c r="G198" s="45">
        <v>2</v>
      </c>
    </row>
    <row r="199" spans="1:7" ht="27" customHeight="1" thickBot="1">
      <c r="A199" s="3703" t="s">
        <v>640</v>
      </c>
      <c r="B199" s="3704"/>
      <c r="C199" s="3704"/>
      <c r="D199" s="3704"/>
      <c r="E199" s="3705"/>
      <c r="F199" s="3705"/>
      <c r="G199" s="49"/>
    </row>
    <row r="200" spans="1:7" ht="13.5" thickBot="1">
      <c r="A200" s="13" t="s">
        <v>489</v>
      </c>
      <c r="B200" s="8" t="s">
        <v>347</v>
      </c>
      <c r="C200" s="9" t="s">
        <v>202</v>
      </c>
      <c r="D200" s="3681">
        <v>10</v>
      </c>
      <c r="E200" s="3682"/>
      <c r="F200" s="10">
        <v>10</v>
      </c>
      <c r="G200" s="45">
        <v>5</v>
      </c>
    </row>
    <row r="201" spans="1:7" ht="39" thickBot="1">
      <c r="A201" s="13" t="s">
        <v>641</v>
      </c>
      <c r="B201" s="8" t="s">
        <v>491</v>
      </c>
      <c r="C201" s="9" t="s">
        <v>202</v>
      </c>
      <c r="D201" s="3681">
        <v>5</v>
      </c>
      <c r="E201" s="3682"/>
      <c r="F201" s="10">
        <v>5</v>
      </c>
      <c r="G201" s="45">
        <v>5</v>
      </c>
    </row>
    <row r="202" spans="1:7" ht="31.5" customHeight="1" thickBot="1">
      <c r="A202" s="3683" t="s">
        <v>37</v>
      </c>
      <c r="B202" s="3684"/>
      <c r="C202" s="3684"/>
      <c r="D202" s="3684"/>
      <c r="E202" s="3685"/>
      <c r="F202" s="3685"/>
      <c r="G202" s="46"/>
    </row>
    <row r="203" spans="1:7" ht="40.5" customHeight="1" thickBot="1">
      <c r="A203" s="3699" t="s">
        <v>38</v>
      </c>
      <c r="B203" s="3700"/>
      <c r="C203" s="3700"/>
      <c r="D203" s="3700"/>
      <c r="E203" s="3701"/>
      <c r="F203" s="3701"/>
      <c r="G203" s="47"/>
    </row>
    <row r="204" spans="1:7" ht="14.25" thickBot="1">
      <c r="A204" s="3699" t="s">
        <v>200</v>
      </c>
      <c r="B204" s="3700"/>
      <c r="C204" s="3700"/>
      <c r="D204" s="3700"/>
      <c r="E204" s="3701"/>
      <c r="F204" s="3701"/>
      <c r="G204" s="47"/>
    </row>
    <row r="205" spans="1:7" ht="13.5" thickBot="1">
      <c r="A205" s="7" t="s">
        <v>39</v>
      </c>
      <c r="B205" s="18" t="s">
        <v>40</v>
      </c>
      <c r="C205" s="9" t="s">
        <v>314</v>
      </c>
      <c r="D205" s="3681">
        <v>90</v>
      </c>
      <c r="E205" s="3682"/>
      <c r="F205" s="10">
        <v>90</v>
      </c>
      <c r="G205" s="45">
        <v>90</v>
      </c>
    </row>
    <row r="206" spans="1:7" ht="13.5" thickBot="1">
      <c r="A206" s="7" t="s">
        <v>249</v>
      </c>
      <c r="B206" s="18" t="s">
        <v>219</v>
      </c>
      <c r="C206" s="9" t="s">
        <v>202</v>
      </c>
      <c r="D206" s="3681">
        <v>100</v>
      </c>
      <c r="E206" s="3682"/>
      <c r="F206" s="10">
        <v>100</v>
      </c>
      <c r="G206" s="45">
        <v>105</v>
      </c>
    </row>
    <row r="207" spans="1:7" ht="13.5" thickBot="1">
      <c r="A207" s="7" t="s">
        <v>642</v>
      </c>
      <c r="B207" s="18" t="s">
        <v>139</v>
      </c>
      <c r="C207" s="9" t="s">
        <v>202</v>
      </c>
      <c r="D207" s="3681">
        <v>210</v>
      </c>
      <c r="E207" s="3682"/>
      <c r="F207" s="10">
        <v>210</v>
      </c>
      <c r="G207" s="45">
        <v>215</v>
      </c>
    </row>
    <row r="208" spans="1:7" ht="13.5" thickBot="1">
      <c r="A208" s="7" t="s">
        <v>311</v>
      </c>
      <c r="B208" s="18" t="s">
        <v>282</v>
      </c>
      <c r="C208" s="9" t="s">
        <v>202</v>
      </c>
      <c r="D208" s="3681">
        <v>1200</v>
      </c>
      <c r="E208" s="3682"/>
      <c r="F208" s="10">
        <v>1200</v>
      </c>
      <c r="G208" s="45">
        <v>1190</v>
      </c>
    </row>
    <row r="209" spans="1:7" ht="13.5" thickBot="1">
      <c r="A209" s="7" t="s">
        <v>480</v>
      </c>
      <c r="B209" s="18" t="s">
        <v>522</v>
      </c>
      <c r="C209" s="9" t="s">
        <v>202</v>
      </c>
      <c r="D209" s="3681">
        <v>110</v>
      </c>
      <c r="E209" s="3682"/>
      <c r="F209" s="10">
        <v>95</v>
      </c>
      <c r="G209" s="45">
        <v>110</v>
      </c>
    </row>
    <row r="210" spans="1:7" ht="13.5" thickBot="1">
      <c r="A210" s="7" t="s">
        <v>557</v>
      </c>
      <c r="B210" s="18" t="s">
        <v>523</v>
      </c>
      <c r="C210" s="9" t="s">
        <v>202</v>
      </c>
      <c r="D210" s="3681">
        <v>10200</v>
      </c>
      <c r="E210" s="3682"/>
      <c r="F210" s="10">
        <v>10200</v>
      </c>
      <c r="G210" s="45">
        <v>10100</v>
      </c>
    </row>
    <row r="211" spans="1:7" ht="13.5" thickBot="1">
      <c r="A211" s="3694" t="s">
        <v>73</v>
      </c>
      <c r="B211" s="3695"/>
      <c r="C211" s="3695"/>
      <c r="D211" s="3695"/>
      <c r="E211" s="3696"/>
      <c r="F211" s="3696"/>
      <c r="G211" s="48"/>
    </row>
    <row r="212" spans="1:7" ht="27" customHeight="1" thickBot="1">
      <c r="A212" s="3703" t="s">
        <v>395</v>
      </c>
      <c r="B212" s="3704"/>
      <c r="C212" s="3704"/>
      <c r="D212" s="3704"/>
      <c r="E212" s="3705"/>
      <c r="F212" s="3705"/>
      <c r="G212" s="49"/>
    </row>
    <row r="213" spans="1:7" ht="26.25" thickBot="1">
      <c r="A213" s="13" t="s">
        <v>193</v>
      </c>
      <c r="B213" s="18" t="s">
        <v>583</v>
      </c>
      <c r="C213" s="9" t="s">
        <v>202</v>
      </c>
      <c r="D213" s="3681">
        <v>2</v>
      </c>
      <c r="E213" s="3682"/>
      <c r="F213" s="10">
        <v>2</v>
      </c>
      <c r="G213" s="45">
        <v>2</v>
      </c>
    </row>
    <row r="214" spans="1:7" ht="27" customHeight="1" thickBot="1">
      <c r="A214" s="3703" t="s">
        <v>481</v>
      </c>
      <c r="B214" s="3704"/>
      <c r="C214" s="3704"/>
      <c r="D214" s="3704"/>
      <c r="E214" s="3705"/>
      <c r="F214" s="3705"/>
      <c r="G214" s="49"/>
    </row>
    <row r="215" spans="1:7" ht="13.5" thickBot="1">
      <c r="A215" s="13" t="s">
        <v>643</v>
      </c>
      <c r="B215" s="18" t="s">
        <v>482</v>
      </c>
      <c r="C215" s="9" t="s">
        <v>202</v>
      </c>
      <c r="D215" s="3681">
        <v>3200</v>
      </c>
      <c r="E215" s="3682"/>
      <c r="F215" s="10">
        <v>3200</v>
      </c>
      <c r="G215" s="45">
        <v>3100</v>
      </c>
    </row>
    <row r="216" spans="1:7" ht="13.5" thickBot="1">
      <c r="A216" s="13" t="s">
        <v>483</v>
      </c>
      <c r="B216" s="18" t="s">
        <v>484</v>
      </c>
      <c r="C216" s="9" t="s">
        <v>202</v>
      </c>
      <c r="D216" s="3681">
        <v>45</v>
      </c>
      <c r="E216" s="3682"/>
      <c r="F216" s="10">
        <v>50</v>
      </c>
      <c r="G216" s="45">
        <v>40</v>
      </c>
    </row>
    <row r="217" spans="1:7" ht="42" customHeight="1">
      <c r="A217" s="3733" t="s">
        <v>256</v>
      </c>
      <c r="B217" s="19"/>
      <c r="C217" s="3709" t="s">
        <v>202</v>
      </c>
      <c r="D217" s="3712">
        <v>2600</v>
      </c>
      <c r="E217" s="3713"/>
      <c r="F217" s="3712">
        <v>3000</v>
      </c>
      <c r="G217" s="3753">
        <v>2500</v>
      </c>
    </row>
    <row r="218" spans="1:7" ht="13.5" thickBot="1">
      <c r="A218" s="3734"/>
      <c r="B218" s="18" t="s">
        <v>257</v>
      </c>
      <c r="C218" s="3711"/>
      <c r="D218" s="3714"/>
      <c r="E218" s="3715"/>
      <c r="F218" s="3714"/>
      <c r="G218" s="3753"/>
    </row>
    <row r="219" spans="1:7" ht="13.5" thickBot="1">
      <c r="A219" s="13" t="s">
        <v>226</v>
      </c>
      <c r="B219" s="18" t="s">
        <v>227</v>
      </c>
      <c r="C219" s="9" t="s">
        <v>202</v>
      </c>
      <c r="D219" s="3681">
        <v>1400</v>
      </c>
      <c r="E219" s="3682"/>
      <c r="F219" s="10">
        <v>1400</v>
      </c>
      <c r="G219" s="45">
        <v>1300</v>
      </c>
    </row>
    <row r="220" spans="1:7" ht="13.5" thickBot="1">
      <c r="A220" s="13" t="s">
        <v>644</v>
      </c>
      <c r="B220" s="18" t="s">
        <v>196</v>
      </c>
      <c r="C220" s="9" t="s">
        <v>202</v>
      </c>
      <c r="D220" s="3681">
        <v>1600</v>
      </c>
      <c r="E220" s="3682"/>
      <c r="F220" s="10">
        <v>1600</v>
      </c>
      <c r="G220" s="45">
        <v>1700</v>
      </c>
    </row>
    <row r="221" spans="1:7" ht="13.5" thickBot="1">
      <c r="A221" s="13" t="s">
        <v>416</v>
      </c>
      <c r="B221" s="18" t="s">
        <v>197</v>
      </c>
      <c r="C221" s="9" t="s">
        <v>202</v>
      </c>
      <c r="D221" s="3681">
        <v>110</v>
      </c>
      <c r="E221" s="3682"/>
      <c r="F221" s="10">
        <v>110</v>
      </c>
      <c r="G221" s="45">
        <v>100</v>
      </c>
    </row>
    <row r="222" spans="1:7" ht="13.5" thickBot="1">
      <c r="A222" s="13" t="s">
        <v>418</v>
      </c>
      <c r="B222" s="18" t="s">
        <v>417</v>
      </c>
      <c r="C222" s="9" t="s">
        <v>202</v>
      </c>
      <c r="D222" s="3681">
        <v>480</v>
      </c>
      <c r="E222" s="3682"/>
      <c r="F222" s="10">
        <v>480</v>
      </c>
      <c r="G222" s="45">
        <v>470</v>
      </c>
    </row>
    <row r="223" spans="1:7" ht="40.5" customHeight="1" thickBot="1">
      <c r="A223" s="3703" t="s">
        <v>164</v>
      </c>
      <c r="B223" s="3704"/>
      <c r="C223" s="3704"/>
      <c r="D223" s="3704"/>
      <c r="E223" s="3705"/>
      <c r="F223" s="3705"/>
      <c r="G223" s="49"/>
    </row>
    <row r="224" spans="1:7" ht="13.5" thickBot="1">
      <c r="A224" s="11" t="s">
        <v>645</v>
      </c>
      <c r="B224" s="18" t="s">
        <v>568</v>
      </c>
      <c r="C224" s="9" t="s">
        <v>314</v>
      </c>
      <c r="D224" s="3681">
        <v>80</v>
      </c>
      <c r="E224" s="3682"/>
      <c r="F224" s="10">
        <v>80</v>
      </c>
      <c r="G224" s="45">
        <v>70</v>
      </c>
    </row>
    <row r="225" spans="1:7" ht="13.5" thickBot="1">
      <c r="A225" s="11" t="s">
        <v>567</v>
      </c>
      <c r="B225" s="18" t="s">
        <v>149</v>
      </c>
      <c r="C225" s="9" t="s">
        <v>202</v>
      </c>
      <c r="D225" s="3681">
        <v>17</v>
      </c>
      <c r="E225" s="3682"/>
      <c r="F225" s="10">
        <v>17</v>
      </c>
      <c r="G225" s="45">
        <v>16</v>
      </c>
    </row>
    <row r="226" spans="1:7" ht="13.5" thickBot="1">
      <c r="A226" s="11" t="s">
        <v>569</v>
      </c>
      <c r="B226" s="18" t="s">
        <v>556</v>
      </c>
      <c r="C226" s="9" t="s">
        <v>202</v>
      </c>
      <c r="D226" s="3681">
        <v>2</v>
      </c>
      <c r="E226" s="3682"/>
      <c r="F226" s="10">
        <v>2</v>
      </c>
      <c r="G226" s="45">
        <v>2</v>
      </c>
    </row>
    <row r="227" spans="1:7" ht="13.5" thickBot="1">
      <c r="A227" s="11" t="s">
        <v>646</v>
      </c>
      <c r="B227" s="18" t="s">
        <v>143</v>
      </c>
      <c r="C227" s="9" t="s">
        <v>202</v>
      </c>
      <c r="D227" s="3681">
        <v>6</v>
      </c>
      <c r="E227" s="3682"/>
      <c r="F227" s="10">
        <v>6</v>
      </c>
      <c r="G227" s="45">
        <v>4</v>
      </c>
    </row>
    <row r="228" spans="1:7" ht="13.5" thickBot="1">
      <c r="A228" s="11" t="s">
        <v>647</v>
      </c>
      <c r="B228" s="18" t="s">
        <v>242</v>
      </c>
      <c r="C228" s="9" t="s">
        <v>202</v>
      </c>
      <c r="D228" s="3681">
        <v>6</v>
      </c>
      <c r="E228" s="3682"/>
      <c r="F228" s="10">
        <v>8</v>
      </c>
      <c r="G228" s="45">
        <v>5</v>
      </c>
    </row>
    <row r="229" spans="1:7" ht="13.5" thickBot="1">
      <c r="A229" s="11" t="s">
        <v>153</v>
      </c>
      <c r="B229" s="18" t="s">
        <v>154</v>
      </c>
      <c r="C229" s="9" t="s">
        <v>202</v>
      </c>
      <c r="D229" s="3681">
        <v>2</v>
      </c>
      <c r="E229" s="3682"/>
      <c r="F229" s="10">
        <v>3</v>
      </c>
      <c r="G229" s="45">
        <v>2</v>
      </c>
    </row>
    <row r="230" spans="1:7" ht="39" thickBot="1">
      <c r="A230" s="13" t="s">
        <v>648</v>
      </c>
      <c r="B230" s="18" t="s">
        <v>369</v>
      </c>
      <c r="C230" s="9" t="s">
        <v>202</v>
      </c>
      <c r="D230" s="3681">
        <v>25</v>
      </c>
      <c r="E230" s="3682"/>
      <c r="F230" s="10">
        <v>10</v>
      </c>
      <c r="G230" s="45">
        <v>5</v>
      </c>
    </row>
    <row r="231" spans="1:7" ht="27" customHeight="1" thickBot="1">
      <c r="A231" s="3699" t="s">
        <v>430</v>
      </c>
      <c r="B231" s="3700"/>
      <c r="C231" s="3700"/>
      <c r="D231" s="3700"/>
      <c r="E231" s="3701"/>
      <c r="F231" s="3701"/>
      <c r="G231" s="47"/>
    </row>
    <row r="232" spans="1:7" ht="14.25" thickBot="1">
      <c r="A232" s="3699" t="s">
        <v>200</v>
      </c>
      <c r="B232" s="3700"/>
      <c r="C232" s="3700"/>
      <c r="D232" s="3700"/>
      <c r="E232" s="3701"/>
      <c r="F232" s="3701"/>
      <c r="G232" s="47"/>
    </row>
    <row r="233" spans="1:7" ht="13.5" thickBot="1">
      <c r="A233" s="7" t="s">
        <v>272</v>
      </c>
      <c r="B233" s="18" t="s">
        <v>431</v>
      </c>
      <c r="C233" s="9" t="s">
        <v>202</v>
      </c>
      <c r="D233" s="3681">
        <v>4</v>
      </c>
      <c r="E233" s="3682"/>
      <c r="F233" s="10">
        <v>4</v>
      </c>
      <c r="G233" s="45">
        <v>4</v>
      </c>
    </row>
    <row r="234" spans="1:7" ht="13.5" thickBot="1">
      <c r="A234" s="7" t="s">
        <v>649</v>
      </c>
      <c r="B234" s="18" t="s">
        <v>273</v>
      </c>
      <c r="C234" s="9" t="s">
        <v>202</v>
      </c>
      <c r="D234" s="3681">
        <v>1</v>
      </c>
      <c r="E234" s="3682"/>
      <c r="F234" s="10">
        <v>0</v>
      </c>
      <c r="G234" s="45">
        <v>0</v>
      </c>
    </row>
    <row r="235" spans="1:7" ht="13.5" thickBot="1">
      <c r="A235" s="3694" t="s">
        <v>73</v>
      </c>
      <c r="B235" s="3695"/>
      <c r="C235" s="3695"/>
      <c r="D235" s="3695"/>
      <c r="E235" s="3696"/>
      <c r="F235" s="3696"/>
      <c r="G235" s="48"/>
    </row>
    <row r="236" spans="1:7" ht="27" customHeight="1" thickBot="1">
      <c r="A236" s="3703" t="s">
        <v>415</v>
      </c>
      <c r="B236" s="3704"/>
      <c r="C236" s="3704"/>
      <c r="D236" s="3704"/>
      <c r="E236" s="3705"/>
      <c r="F236" s="3705"/>
      <c r="G236" s="49"/>
    </row>
    <row r="237" spans="1:7" ht="13.5" thickBot="1">
      <c r="A237" s="11" t="s">
        <v>391</v>
      </c>
      <c r="B237" s="18" t="s">
        <v>392</v>
      </c>
      <c r="C237" s="9" t="s">
        <v>202</v>
      </c>
      <c r="D237" s="3681">
        <v>4</v>
      </c>
      <c r="E237" s="3682"/>
      <c r="F237" s="10">
        <v>4</v>
      </c>
      <c r="G237" s="45">
        <v>3</v>
      </c>
    </row>
    <row r="238" spans="1:7" ht="13.5" thickBot="1">
      <c r="A238" s="11" t="s">
        <v>205</v>
      </c>
      <c r="B238" s="18" t="s">
        <v>21</v>
      </c>
      <c r="C238" s="9" t="s">
        <v>202</v>
      </c>
      <c r="D238" s="3681">
        <v>45</v>
      </c>
      <c r="E238" s="3682"/>
      <c r="F238" s="10">
        <v>50</v>
      </c>
      <c r="G238" s="45">
        <v>40</v>
      </c>
    </row>
    <row r="239" spans="1:7" ht="13.5" thickBot="1">
      <c r="A239" s="11" t="s">
        <v>650</v>
      </c>
      <c r="B239" s="18" t="s">
        <v>206</v>
      </c>
      <c r="C239" s="9" t="s">
        <v>202</v>
      </c>
      <c r="D239" s="3681">
        <v>4</v>
      </c>
      <c r="E239" s="3682"/>
      <c r="F239" s="10">
        <v>0</v>
      </c>
      <c r="G239" s="45">
        <v>5</v>
      </c>
    </row>
    <row r="240" spans="1:7" ht="13.5" thickBot="1">
      <c r="A240" s="11" t="s">
        <v>325</v>
      </c>
      <c r="B240" s="18" t="s">
        <v>519</v>
      </c>
      <c r="C240" s="9" t="s">
        <v>202</v>
      </c>
      <c r="D240" s="3681">
        <v>30</v>
      </c>
      <c r="E240" s="3682"/>
      <c r="F240" s="10">
        <v>30</v>
      </c>
      <c r="G240" s="45">
        <v>30</v>
      </c>
    </row>
    <row r="241" spans="1:7" ht="13.5" thickBot="1">
      <c r="A241" s="11" t="s">
        <v>284</v>
      </c>
      <c r="B241" s="18" t="s">
        <v>285</v>
      </c>
      <c r="C241" s="9" t="s">
        <v>202</v>
      </c>
      <c r="D241" s="3681">
        <v>90</v>
      </c>
      <c r="E241" s="3682"/>
      <c r="F241" s="10">
        <v>100</v>
      </c>
      <c r="G241" s="45">
        <v>80</v>
      </c>
    </row>
    <row r="242" spans="1:7" ht="13.5" thickBot="1">
      <c r="A242" s="11" t="s">
        <v>153</v>
      </c>
      <c r="B242" s="18" t="s">
        <v>155</v>
      </c>
      <c r="C242" s="9" t="s">
        <v>202</v>
      </c>
      <c r="D242" s="3681">
        <v>1</v>
      </c>
      <c r="E242" s="3682"/>
      <c r="F242" s="10">
        <v>1</v>
      </c>
      <c r="G242" s="45">
        <v>1</v>
      </c>
    </row>
    <row r="243" spans="1:7" ht="31.5" customHeight="1" thickBot="1">
      <c r="A243" s="3683" t="s">
        <v>103</v>
      </c>
      <c r="B243" s="3684"/>
      <c r="C243" s="3684"/>
      <c r="D243" s="3684"/>
      <c r="E243" s="3685"/>
      <c r="F243" s="3685"/>
      <c r="G243" s="46"/>
    </row>
    <row r="244" spans="1:7" ht="40.5" customHeight="1" thickBot="1">
      <c r="A244" s="3699" t="s">
        <v>513</v>
      </c>
      <c r="B244" s="3700"/>
      <c r="C244" s="3700"/>
      <c r="D244" s="3700"/>
      <c r="E244" s="3701"/>
      <c r="F244" s="3701"/>
      <c r="G244" s="47"/>
    </row>
    <row r="245" spans="1:7" ht="14.25" thickBot="1">
      <c r="A245" s="3699" t="s">
        <v>200</v>
      </c>
      <c r="B245" s="3700"/>
      <c r="C245" s="3700"/>
      <c r="D245" s="3700"/>
      <c r="E245" s="3701"/>
      <c r="F245" s="3701"/>
      <c r="G245" s="47"/>
    </row>
    <row r="246" spans="1:7" ht="13.5" thickBot="1">
      <c r="A246" s="7" t="s">
        <v>360</v>
      </c>
      <c r="B246" s="18" t="s">
        <v>218</v>
      </c>
      <c r="C246" s="9" t="s">
        <v>344</v>
      </c>
      <c r="D246" s="3681">
        <v>7.5</v>
      </c>
      <c r="E246" s="3682"/>
      <c r="F246" s="10">
        <v>7.5</v>
      </c>
      <c r="G246" s="45">
        <v>8</v>
      </c>
    </row>
    <row r="247" spans="1:7" ht="39" thickBot="1">
      <c r="A247" s="7" t="s">
        <v>217</v>
      </c>
      <c r="B247" s="18" t="s">
        <v>207</v>
      </c>
      <c r="C247" s="9" t="s">
        <v>202</v>
      </c>
      <c r="D247" s="3681">
        <v>1</v>
      </c>
      <c r="E247" s="3682"/>
      <c r="F247" s="10">
        <v>1</v>
      </c>
      <c r="G247" s="45">
        <v>1</v>
      </c>
    </row>
    <row r="248" spans="1:7" ht="13.5" thickBot="1">
      <c r="A248" s="7" t="s">
        <v>651</v>
      </c>
      <c r="B248" s="18" t="s">
        <v>208</v>
      </c>
      <c r="C248" s="9" t="s">
        <v>202</v>
      </c>
      <c r="D248" s="3681">
        <v>1</v>
      </c>
      <c r="E248" s="3682"/>
      <c r="F248" s="10">
        <v>0</v>
      </c>
      <c r="G248" s="45">
        <v>0</v>
      </c>
    </row>
    <row r="249" spans="1:7" ht="13.5" thickBot="1">
      <c r="A249" s="3694" t="s">
        <v>73</v>
      </c>
      <c r="B249" s="3695"/>
      <c r="C249" s="3695"/>
      <c r="D249" s="3695"/>
      <c r="E249" s="3696"/>
      <c r="F249" s="3696"/>
      <c r="G249" s="48"/>
    </row>
    <row r="250" spans="1:7" ht="27" customHeight="1" thickBot="1">
      <c r="A250" s="3703" t="s">
        <v>147</v>
      </c>
      <c r="B250" s="3704"/>
      <c r="C250" s="3704"/>
      <c r="D250" s="3704"/>
      <c r="E250" s="3705"/>
      <c r="F250" s="3705"/>
      <c r="G250" s="49"/>
    </row>
    <row r="251" spans="1:7" ht="13.5" thickBot="1">
      <c r="A251" s="11" t="s">
        <v>5</v>
      </c>
      <c r="B251" s="18" t="s">
        <v>6</v>
      </c>
      <c r="C251" s="9" t="s">
        <v>202</v>
      </c>
      <c r="D251" s="3681">
        <v>11</v>
      </c>
      <c r="E251" s="3682"/>
      <c r="F251" s="10">
        <v>11</v>
      </c>
      <c r="G251" s="45">
        <v>11</v>
      </c>
    </row>
    <row r="252" spans="1:7" ht="13.5" thickBot="1">
      <c r="A252" s="11" t="s">
        <v>652</v>
      </c>
      <c r="B252" s="18" t="s">
        <v>12</v>
      </c>
      <c r="C252" s="9" t="s">
        <v>202</v>
      </c>
      <c r="D252" s="3681">
        <v>160</v>
      </c>
      <c r="E252" s="3682"/>
      <c r="F252" s="10">
        <v>170</v>
      </c>
      <c r="G252" s="45">
        <v>150</v>
      </c>
    </row>
    <row r="253" spans="1:7" ht="13.5" thickBot="1">
      <c r="A253" s="11" t="s">
        <v>233</v>
      </c>
      <c r="B253" s="18" t="s">
        <v>13</v>
      </c>
      <c r="C253" s="9" t="s">
        <v>202</v>
      </c>
      <c r="D253" s="3681">
        <v>4500</v>
      </c>
      <c r="E253" s="3682"/>
      <c r="F253" s="10">
        <v>4500</v>
      </c>
      <c r="G253" s="45">
        <v>4000</v>
      </c>
    </row>
    <row r="254" spans="1:7" ht="13.5" thickBot="1">
      <c r="A254" s="11" t="s">
        <v>653</v>
      </c>
      <c r="B254" s="18" t="s">
        <v>189</v>
      </c>
      <c r="C254" s="9" t="s">
        <v>202</v>
      </c>
      <c r="D254" s="3681">
        <v>700</v>
      </c>
      <c r="E254" s="3682"/>
      <c r="F254" s="10">
        <v>700</v>
      </c>
      <c r="G254" s="45">
        <v>700</v>
      </c>
    </row>
    <row r="255" spans="1:7" ht="26.25" thickBot="1">
      <c r="A255" s="13" t="s">
        <v>375</v>
      </c>
      <c r="B255" s="18" t="s">
        <v>14</v>
      </c>
      <c r="C255" s="9" t="s">
        <v>202</v>
      </c>
      <c r="D255" s="3681">
        <v>30</v>
      </c>
      <c r="E255" s="3682"/>
      <c r="F255" s="10">
        <v>30</v>
      </c>
      <c r="G255" s="45">
        <v>25</v>
      </c>
    </row>
    <row r="256" spans="1:7" ht="39" thickBot="1">
      <c r="A256" s="13" t="s">
        <v>376</v>
      </c>
      <c r="B256" s="18" t="s">
        <v>15</v>
      </c>
      <c r="C256" s="9" t="s">
        <v>202</v>
      </c>
      <c r="D256" s="3681">
        <v>20</v>
      </c>
      <c r="E256" s="3682"/>
      <c r="F256" s="10">
        <v>23</v>
      </c>
      <c r="G256" s="45">
        <v>17</v>
      </c>
    </row>
    <row r="257" spans="1:7" ht="27" customHeight="1" thickBot="1">
      <c r="A257" s="3703" t="s">
        <v>7</v>
      </c>
      <c r="B257" s="3704"/>
      <c r="C257" s="3704"/>
      <c r="D257" s="3704"/>
      <c r="E257" s="3705"/>
      <c r="F257" s="3705"/>
      <c r="G257" s="49"/>
    </row>
    <row r="258" spans="1:7" ht="26.25" thickBot="1">
      <c r="A258" s="13" t="s">
        <v>654</v>
      </c>
      <c r="B258" s="18" t="s">
        <v>109</v>
      </c>
      <c r="C258" s="9" t="s">
        <v>314</v>
      </c>
      <c r="D258" s="3681">
        <v>100</v>
      </c>
      <c r="E258" s="3682"/>
      <c r="F258" s="10">
        <v>100</v>
      </c>
      <c r="G258" s="45">
        <v>100</v>
      </c>
    </row>
    <row r="259" spans="1:7" ht="13.5" thickBot="1">
      <c r="A259" s="13" t="s">
        <v>134</v>
      </c>
      <c r="B259" s="18" t="s">
        <v>254</v>
      </c>
      <c r="C259" s="9" t="s">
        <v>202</v>
      </c>
      <c r="D259" s="3681">
        <v>3800</v>
      </c>
      <c r="E259" s="3682"/>
      <c r="F259" s="10">
        <v>3800</v>
      </c>
      <c r="G259" s="45">
        <v>3800</v>
      </c>
    </row>
    <row r="260" spans="1:7" ht="13.5" thickBot="1">
      <c r="A260" s="13" t="s">
        <v>135</v>
      </c>
      <c r="B260" s="18" t="s">
        <v>136</v>
      </c>
      <c r="C260" s="9" t="s">
        <v>202</v>
      </c>
      <c r="D260" s="3681">
        <v>300</v>
      </c>
      <c r="E260" s="3682"/>
      <c r="F260" s="10">
        <v>350</v>
      </c>
      <c r="G260" s="45">
        <v>250</v>
      </c>
    </row>
    <row r="261" spans="1:7" ht="26.25" thickBot="1">
      <c r="A261" s="13" t="s">
        <v>190</v>
      </c>
      <c r="B261" s="18" t="s">
        <v>137</v>
      </c>
      <c r="C261" s="9" t="s">
        <v>202</v>
      </c>
      <c r="D261" s="3681">
        <v>6000</v>
      </c>
      <c r="E261" s="3682"/>
      <c r="F261" s="10">
        <v>6000</v>
      </c>
      <c r="G261" s="45">
        <v>6000</v>
      </c>
    </row>
    <row r="262" spans="1:7" ht="13.5" thickBot="1">
      <c r="A262" s="13" t="s">
        <v>335</v>
      </c>
      <c r="B262" s="18" t="s">
        <v>138</v>
      </c>
      <c r="C262" s="9" t="s">
        <v>314</v>
      </c>
      <c r="D262" s="3681">
        <v>90</v>
      </c>
      <c r="E262" s="3682"/>
      <c r="F262" s="10">
        <v>90</v>
      </c>
      <c r="G262" s="45">
        <v>90</v>
      </c>
    </row>
    <row r="263" spans="1:7" ht="13.5" thickBot="1">
      <c r="A263" s="13" t="s">
        <v>655</v>
      </c>
      <c r="B263" s="18" t="s">
        <v>656</v>
      </c>
      <c r="C263" s="9" t="s">
        <v>202</v>
      </c>
      <c r="D263" s="3681">
        <v>0</v>
      </c>
      <c r="E263" s="3682"/>
      <c r="F263" s="10">
        <v>1</v>
      </c>
      <c r="G263" s="45">
        <v>1</v>
      </c>
    </row>
    <row r="264" spans="1:7" ht="27" customHeight="1" thickBot="1">
      <c r="A264" s="3703" t="s">
        <v>468</v>
      </c>
      <c r="B264" s="3704"/>
      <c r="C264" s="3704"/>
      <c r="D264" s="3704"/>
      <c r="E264" s="3705"/>
      <c r="F264" s="3705"/>
      <c r="G264" s="49"/>
    </row>
    <row r="265" spans="1:7" ht="13.5" thickBot="1">
      <c r="A265" s="13" t="s">
        <v>657</v>
      </c>
      <c r="B265" s="18" t="s">
        <v>446</v>
      </c>
      <c r="C265" s="9" t="s">
        <v>202</v>
      </c>
      <c r="D265" s="3681">
        <v>3</v>
      </c>
      <c r="E265" s="3682"/>
      <c r="F265" s="10">
        <v>3</v>
      </c>
      <c r="G265" s="45">
        <v>3</v>
      </c>
    </row>
    <row r="266" spans="1:7" ht="26.25" thickBot="1">
      <c r="A266" s="13" t="s">
        <v>658</v>
      </c>
      <c r="B266" s="18" t="s">
        <v>19</v>
      </c>
      <c r="C266" s="9" t="s">
        <v>202</v>
      </c>
      <c r="D266" s="3681">
        <v>100</v>
      </c>
      <c r="E266" s="3682"/>
      <c r="F266" s="10">
        <v>100</v>
      </c>
      <c r="G266" s="45">
        <v>100</v>
      </c>
    </row>
    <row r="267" spans="1:7" ht="13.5" thickBot="1">
      <c r="A267" s="13" t="s">
        <v>659</v>
      </c>
      <c r="B267" s="18" t="s">
        <v>20</v>
      </c>
      <c r="C267" s="9" t="s">
        <v>202</v>
      </c>
      <c r="D267" s="3681">
        <v>0</v>
      </c>
      <c r="E267" s="3682"/>
      <c r="F267" s="10">
        <v>0</v>
      </c>
      <c r="G267" s="45">
        <v>0</v>
      </c>
    </row>
    <row r="268" spans="1:7" ht="40.5" customHeight="1" thickBot="1">
      <c r="A268" s="3679" t="s">
        <v>378</v>
      </c>
      <c r="B268" s="3680"/>
      <c r="C268" s="3680"/>
      <c r="D268" s="3680"/>
      <c r="E268" s="3702"/>
      <c r="F268" s="3702"/>
      <c r="G268" s="50"/>
    </row>
    <row r="269" spans="1:7" ht="14.25" thickBot="1">
      <c r="A269" s="3679" t="s">
        <v>494</v>
      </c>
      <c r="B269" s="3680"/>
      <c r="C269" s="3680"/>
      <c r="D269" s="3680"/>
      <c r="E269" s="3702"/>
      <c r="F269" s="3702"/>
      <c r="G269" s="50"/>
    </row>
    <row r="270" spans="1:7" ht="63.75" thickBot="1">
      <c r="A270" s="7" t="s">
        <v>379</v>
      </c>
      <c r="B270" s="8" t="s">
        <v>472</v>
      </c>
      <c r="C270" s="9" t="s">
        <v>473</v>
      </c>
      <c r="D270" s="3751" t="s">
        <v>660</v>
      </c>
      <c r="E270" s="3752"/>
      <c r="F270" s="25" t="s">
        <v>660</v>
      </c>
      <c r="G270" s="57" t="s">
        <v>660</v>
      </c>
    </row>
    <row r="271" spans="1:7" ht="13.5" thickBot="1">
      <c r="A271" s="7" t="s">
        <v>107</v>
      </c>
      <c r="B271" s="8" t="s">
        <v>108</v>
      </c>
      <c r="C271" s="9" t="s">
        <v>314</v>
      </c>
      <c r="D271" s="3681">
        <v>90</v>
      </c>
      <c r="E271" s="3682"/>
      <c r="F271" s="10">
        <v>90</v>
      </c>
      <c r="G271" s="45">
        <v>90</v>
      </c>
    </row>
    <row r="272" spans="1:7" ht="13.5" thickBot="1">
      <c r="A272" s="7" t="s">
        <v>661</v>
      </c>
      <c r="B272" s="8" t="s">
        <v>166</v>
      </c>
      <c r="C272" s="9" t="s">
        <v>314</v>
      </c>
      <c r="D272" s="3681">
        <v>5</v>
      </c>
      <c r="E272" s="3682"/>
      <c r="F272" s="10">
        <v>5</v>
      </c>
      <c r="G272" s="45">
        <v>5</v>
      </c>
    </row>
    <row r="273" spans="1:7" ht="26.25" thickBot="1">
      <c r="A273" s="7" t="s">
        <v>662</v>
      </c>
      <c r="B273" s="8" t="s">
        <v>167</v>
      </c>
      <c r="C273" s="9" t="s">
        <v>202</v>
      </c>
      <c r="D273" s="3681">
        <v>12</v>
      </c>
      <c r="E273" s="3682"/>
      <c r="F273" s="10">
        <v>10</v>
      </c>
      <c r="G273" s="45">
        <v>12</v>
      </c>
    </row>
    <row r="274" spans="1:7" ht="31.5" customHeight="1" thickBot="1">
      <c r="A274" s="3683" t="s">
        <v>509</v>
      </c>
      <c r="B274" s="3684"/>
      <c r="C274" s="3684"/>
      <c r="D274" s="3684"/>
      <c r="E274" s="3685"/>
      <c r="F274" s="3685"/>
      <c r="G274" s="46"/>
    </row>
    <row r="275" spans="1:7" ht="14.25" thickBot="1">
      <c r="A275" s="3699" t="s">
        <v>330</v>
      </c>
      <c r="B275" s="3700"/>
      <c r="C275" s="3700"/>
      <c r="D275" s="3700"/>
      <c r="E275" s="3701"/>
      <c r="F275" s="3701"/>
      <c r="G275" s="47"/>
    </row>
    <row r="276" spans="1:7" ht="14.25" thickBot="1">
      <c r="A276" s="3699" t="s">
        <v>200</v>
      </c>
      <c r="B276" s="3700"/>
      <c r="C276" s="3700"/>
      <c r="D276" s="3700"/>
      <c r="E276" s="3701"/>
      <c r="F276" s="3701"/>
      <c r="G276" s="47"/>
    </row>
    <row r="277" spans="1:7" ht="13.5" thickBot="1">
      <c r="A277" s="7" t="s">
        <v>466</v>
      </c>
      <c r="B277" s="18" t="s">
        <v>24</v>
      </c>
      <c r="C277" s="9" t="s">
        <v>314</v>
      </c>
      <c r="D277" s="3681">
        <v>100</v>
      </c>
      <c r="E277" s="3682"/>
      <c r="F277" s="10">
        <v>100</v>
      </c>
      <c r="G277" s="45">
        <v>100</v>
      </c>
    </row>
    <row r="278" spans="1:7" ht="13.5" thickBot="1">
      <c r="A278" s="7" t="s">
        <v>315</v>
      </c>
      <c r="B278" s="18" t="s">
        <v>316</v>
      </c>
      <c r="C278" s="9" t="s">
        <v>202</v>
      </c>
      <c r="D278" s="3681">
        <v>2</v>
      </c>
      <c r="E278" s="3682"/>
      <c r="F278" s="10">
        <v>2</v>
      </c>
      <c r="G278" s="45">
        <v>2</v>
      </c>
    </row>
    <row r="279" spans="1:7" ht="13.5" thickBot="1">
      <c r="A279" s="7" t="s">
        <v>386</v>
      </c>
      <c r="B279" s="18" t="s">
        <v>406</v>
      </c>
      <c r="C279" s="9" t="s">
        <v>202</v>
      </c>
      <c r="D279" s="3681">
        <v>3</v>
      </c>
      <c r="E279" s="3682"/>
      <c r="F279" s="10">
        <v>3</v>
      </c>
      <c r="G279" s="45">
        <v>4</v>
      </c>
    </row>
    <row r="280" spans="1:7" ht="13.5" thickBot="1">
      <c r="A280" s="3694" t="s">
        <v>73</v>
      </c>
      <c r="B280" s="3695"/>
      <c r="C280" s="3695"/>
      <c r="D280" s="3695"/>
      <c r="E280" s="3696"/>
      <c r="F280" s="3696"/>
      <c r="G280" s="48"/>
    </row>
    <row r="281" spans="1:7" ht="40.5" customHeight="1" thickBot="1">
      <c r="A281" s="3703" t="s">
        <v>183</v>
      </c>
      <c r="B281" s="3704"/>
      <c r="C281" s="3704"/>
      <c r="D281" s="3704"/>
      <c r="E281" s="3705"/>
      <c r="F281" s="3705"/>
      <c r="G281" s="49"/>
    </row>
    <row r="282" spans="1:7" ht="13.5" thickBot="1">
      <c r="A282" s="11" t="s">
        <v>470</v>
      </c>
      <c r="B282" s="18" t="s">
        <v>514</v>
      </c>
      <c r="C282" s="9" t="s">
        <v>314</v>
      </c>
      <c r="D282" s="3681">
        <v>99</v>
      </c>
      <c r="E282" s="3682"/>
      <c r="F282" s="10">
        <v>99</v>
      </c>
      <c r="G282" s="45">
        <v>99</v>
      </c>
    </row>
    <row r="283" spans="1:7" ht="13.5" thickBot="1">
      <c r="A283" s="11" t="s">
        <v>515</v>
      </c>
      <c r="B283" s="18" t="s">
        <v>516</v>
      </c>
      <c r="C283" s="9" t="s">
        <v>517</v>
      </c>
      <c r="D283" s="3681">
        <v>350</v>
      </c>
      <c r="E283" s="3682"/>
      <c r="F283" s="10">
        <v>350</v>
      </c>
      <c r="G283" s="45">
        <v>350</v>
      </c>
    </row>
    <row r="284" spans="1:7" ht="26.25" thickBot="1">
      <c r="A284" s="13" t="s">
        <v>115</v>
      </c>
      <c r="B284" s="18" t="s">
        <v>342</v>
      </c>
      <c r="C284" s="9" t="s">
        <v>314</v>
      </c>
      <c r="D284" s="3681">
        <v>85</v>
      </c>
      <c r="E284" s="3682"/>
      <c r="F284" s="10">
        <v>85</v>
      </c>
      <c r="G284" s="45">
        <v>85</v>
      </c>
    </row>
    <row r="285" spans="1:7" ht="13.5" thickBot="1">
      <c r="A285" s="13" t="s">
        <v>68</v>
      </c>
      <c r="B285" s="18" t="s">
        <v>343</v>
      </c>
      <c r="C285" s="9" t="s">
        <v>344</v>
      </c>
      <c r="D285" s="3681">
        <v>1</v>
      </c>
      <c r="E285" s="3682"/>
      <c r="F285" s="10">
        <v>1</v>
      </c>
      <c r="G285" s="45">
        <v>1</v>
      </c>
    </row>
    <row r="286" spans="1:7" ht="26.25" thickBot="1">
      <c r="A286" s="13" t="s">
        <v>394</v>
      </c>
      <c r="B286" s="18" t="s">
        <v>414</v>
      </c>
      <c r="C286" s="9" t="s">
        <v>344</v>
      </c>
      <c r="D286" s="3681">
        <v>2</v>
      </c>
      <c r="E286" s="3682"/>
      <c r="F286" s="10">
        <v>2</v>
      </c>
      <c r="G286" s="45">
        <v>2</v>
      </c>
    </row>
    <row r="287" spans="1:7" ht="13.5" thickBot="1">
      <c r="A287" s="11" t="s">
        <v>663</v>
      </c>
      <c r="B287" s="18" t="s">
        <v>31</v>
      </c>
      <c r="C287" s="9" t="s">
        <v>202</v>
      </c>
      <c r="D287" s="3681">
        <v>75</v>
      </c>
      <c r="E287" s="3682"/>
      <c r="F287" s="10">
        <v>70</v>
      </c>
      <c r="G287" s="45">
        <v>80</v>
      </c>
    </row>
    <row r="288" spans="1:7" ht="13.5" thickBot="1">
      <c r="A288" s="11" t="s">
        <v>422</v>
      </c>
      <c r="B288" s="18" t="s">
        <v>69</v>
      </c>
      <c r="C288" s="9" t="s">
        <v>344</v>
      </c>
      <c r="D288" s="3681">
        <v>15</v>
      </c>
      <c r="E288" s="3682"/>
      <c r="F288" s="10">
        <v>15</v>
      </c>
      <c r="G288" s="45">
        <v>120</v>
      </c>
    </row>
    <row r="289" spans="1:7" ht="13.5" thickBot="1">
      <c r="A289" s="11" t="s">
        <v>423</v>
      </c>
      <c r="B289" s="18" t="s">
        <v>372</v>
      </c>
      <c r="C289" s="9" t="s">
        <v>344</v>
      </c>
      <c r="D289" s="3681">
        <v>0</v>
      </c>
      <c r="E289" s="3682"/>
      <c r="F289" s="10">
        <v>0</v>
      </c>
      <c r="G289" s="45">
        <v>40</v>
      </c>
    </row>
    <row r="290" spans="1:7" ht="27" customHeight="1" thickBot="1">
      <c r="A290" s="3703" t="s">
        <v>32</v>
      </c>
      <c r="B290" s="3704"/>
      <c r="C290" s="3704"/>
      <c r="D290" s="3704"/>
      <c r="E290" s="3705"/>
      <c r="F290" s="3705"/>
      <c r="G290" s="49"/>
    </row>
    <row r="291" spans="1:7" ht="13.5" thickBot="1">
      <c r="A291" s="11" t="s">
        <v>664</v>
      </c>
      <c r="B291" s="8" t="s">
        <v>33</v>
      </c>
      <c r="C291" s="9" t="s">
        <v>314</v>
      </c>
      <c r="D291" s="3681">
        <v>100</v>
      </c>
      <c r="E291" s="3682"/>
      <c r="F291" s="10">
        <v>100</v>
      </c>
      <c r="G291" s="45">
        <v>100</v>
      </c>
    </row>
    <row r="292" spans="1:7" ht="14.25" thickBot="1">
      <c r="A292" s="3703" t="s">
        <v>46</v>
      </c>
      <c r="B292" s="3704"/>
      <c r="C292" s="3704"/>
      <c r="D292" s="3704"/>
      <c r="E292" s="3705"/>
      <c r="F292" s="3705"/>
      <c r="G292" s="49"/>
    </row>
    <row r="293" spans="1:7" ht="13.5" thickBot="1">
      <c r="A293" s="11" t="s">
        <v>277</v>
      </c>
      <c r="B293" s="18" t="s">
        <v>47</v>
      </c>
      <c r="C293" s="9" t="s">
        <v>202</v>
      </c>
      <c r="D293" s="3681">
        <v>0</v>
      </c>
      <c r="E293" s="3682"/>
      <c r="F293" s="10">
        <v>0</v>
      </c>
      <c r="G293" s="45">
        <v>1</v>
      </c>
    </row>
    <row r="294" spans="1:7" ht="27" customHeight="1" thickBot="1">
      <c r="A294" s="3703" t="s">
        <v>125</v>
      </c>
      <c r="B294" s="3704"/>
      <c r="C294" s="3704"/>
      <c r="D294" s="3704"/>
      <c r="E294" s="3705"/>
      <c r="F294" s="3705"/>
      <c r="G294" s="49"/>
    </row>
    <row r="295" spans="1:7" ht="13.5" thickBot="1">
      <c r="A295" s="11" t="s">
        <v>127</v>
      </c>
      <c r="B295" s="8" t="s">
        <v>126</v>
      </c>
      <c r="C295" s="9" t="s">
        <v>202</v>
      </c>
      <c r="D295" s="3681">
        <v>50</v>
      </c>
      <c r="E295" s="3682"/>
      <c r="F295" s="10">
        <v>50</v>
      </c>
      <c r="G295" s="45">
        <v>50</v>
      </c>
    </row>
    <row r="296" spans="1:7" ht="40.5" customHeight="1" thickBot="1">
      <c r="A296" s="3679" t="s">
        <v>496</v>
      </c>
      <c r="B296" s="3680"/>
      <c r="C296" s="3680"/>
      <c r="D296" s="3680"/>
      <c r="E296" s="3702"/>
      <c r="F296" s="3702"/>
      <c r="G296" s="50"/>
    </row>
    <row r="297" spans="1:7" ht="14.25" thickBot="1">
      <c r="A297" s="3679" t="s">
        <v>494</v>
      </c>
      <c r="B297" s="3680"/>
      <c r="C297" s="3680"/>
      <c r="D297" s="3680"/>
      <c r="E297" s="3702"/>
      <c r="F297" s="3702"/>
      <c r="G297" s="50"/>
    </row>
    <row r="298" spans="1:7" ht="26.25" thickBot="1">
      <c r="A298" s="7" t="s">
        <v>665</v>
      </c>
      <c r="B298" s="8" t="s">
        <v>259</v>
      </c>
      <c r="C298" s="9" t="s">
        <v>377</v>
      </c>
      <c r="D298" s="3718">
        <v>16</v>
      </c>
      <c r="E298" s="3719"/>
      <c r="F298" s="16">
        <v>16</v>
      </c>
      <c r="G298" s="51">
        <v>16</v>
      </c>
    </row>
    <row r="299" spans="1:7" ht="23.25" thickBot="1">
      <c r="A299" s="7" t="s">
        <v>260</v>
      </c>
      <c r="B299" s="8" t="s">
        <v>261</v>
      </c>
      <c r="C299" s="9" t="s">
        <v>377</v>
      </c>
      <c r="D299" s="3681">
        <v>40</v>
      </c>
      <c r="E299" s="3682"/>
      <c r="F299" s="10">
        <v>40</v>
      </c>
      <c r="G299" s="45">
        <v>35</v>
      </c>
    </row>
    <row r="300" spans="1:7" ht="23.25" thickBot="1">
      <c r="A300" s="7" t="s">
        <v>215</v>
      </c>
      <c r="B300" s="8" t="s">
        <v>216</v>
      </c>
      <c r="C300" s="9" t="s">
        <v>314</v>
      </c>
      <c r="D300" s="3716" t="s">
        <v>250</v>
      </c>
      <c r="E300" s="3717"/>
      <c r="F300" s="17" t="s">
        <v>250</v>
      </c>
      <c r="G300" s="52" t="s">
        <v>592</v>
      </c>
    </row>
    <row r="301" spans="1:7" ht="31.5" customHeight="1" thickBot="1">
      <c r="A301" s="3683" t="s">
        <v>148</v>
      </c>
      <c r="B301" s="3684"/>
      <c r="C301" s="3684"/>
      <c r="D301" s="3684"/>
      <c r="E301" s="3685"/>
      <c r="F301" s="3685"/>
      <c r="G301" s="46"/>
    </row>
    <row r="302" spans="1:7" ht="40.5" customHeight="1" thickBot="1">
      <c r="A302" s="3699" t="s">
        <v>194</v>
      </c>
      <c r="B302" s="3700"/>
      <c r="C302" s="3700"/>
      <c r="D302" s="3700"/>
      <c r="E302" s="3701"/>
      <c r="F302" s="3701"/>
      <c r="G302" s="47"/>
    </row>
    <row r="303" spans="1:7" ht="14.25" thickBot="1">
      <c r="A303" s="3699" t="s">
        <v>200</v>
      </c>
      <c r="B303" s="3700"/>
      <c r="C303" s="3700"/>
      <c r="D303" s="3700"/>
      <c r="E303" s="3701"/>
      <c r="F303" s="3701"/>
      <c r="G303" s="47"/>
    </row>
    <row r="304" spans="1:7" ht="26.25" thickBot="1">
      <c r="A304" s="7" t="s">
        <v>666</v>
      </c>
      <c r="B304" s="8" t="s">
        <v>195</v>
      </c>
      <c r="C304" s="9" t="s">
        <v>314</v>
      </c>
      <c r="D304" s="3681">
        <v>90</v>
      </c>
      <c r="E304" s="3682"/>
      <c r="F304" s="10">
        <v>90</v>
      </c>
      <c r="G304" s="45">
        <v>90</v>
      </c>
    </row>
    <row r="305" spans="1:7" ht="13.5" thickBot="1">
      <c r="A305" s="7" t="s">
        <v>156</v>
      </c>
      <c r="B305" s="8" t="s">
        <v>559</v>
      </c>
      <c r="C305" s="9" t="s">
        <v>202</v>
      </c>
      <c r="D305" s="3681">
        <v>5</v>
      </c>
      <c r="E305" s="3682"/>
      <c r="F305" s="10">
        <v>10</v>
      </c>
      <c r="G305" s="45">
        <v>5</v>
      </c>
    </row>
    <row r="306" spans="1:7" ht="26.25" thickBot="1">
      <c r="A306" s="7" t="s">
        <v>351</v>
      </c>
      <c r="B306" s="8" t="s">
        <v>593</v>
      </c>
      <c r="C306" s="9" t="s">
        <v>202</v>
      </c>
      <c r="D306" s="3681">
        <v>3</v>
      </c>
      <c r="E306" s="3682"/>
      <c r="F306" s="10">
        <v>10</v>
      </c>
      <c r="G306" s="45">
        <v>3</v>
      </c>
    </row>
    <row r="307" spans="1:7" ht="13.5" thickBot="1">
      <c r="A307" s="7" t="s">
        <v>247</v>
      </c>
      <c r="B307" s="8" t="s">
        <v>157</v>
      </c>
      <c r="C307" s="9" t="s">
        <v>314</v>
      </c>
      <c r="D307" s="3681">
        <v>100</v>
      </c>
      <c r="E307" s="3682"/>
      <c r="F307" s="10">
        <v>100</v>
      </c>
      <c r="G307" s="45">
        <v>99</v>
      </c>
    </row>
    <row r="308" spans="1:7" ht="13.5" thickBot="1">
      <c r="A308" s="7" t="s">
        <v>558</v>
      </c>
      <c r="B308" s="8" t="s">
        <v>427</v>
      </c>
      <c r="C308" s="9" t="s">
        <v>202</v>
      </c>
      <c r="D308" s="3681">
        <v>2</v>
      </c>
      <c r="E308" s="3682"/>
      <c r="F308" s="10">
        <v>2</v>
      </c>
      <c r="G308" s="45">
        <v>2</v>
      </c>
    </row>
    <row r="309" spans="1:7" ht="34.5" customHeight="1">
      <c r="A309" s="3737" t="s">
        <v>667</v>
      </c>
      <c r="B309" s="26"/>
      <c r="C309" s="3739" t="s">
        <v>202</v>
      </c>
      <c r="D309" s="3735">
        <v>5</v>
      </c>
      <c r="E309" s="3741"/>
      <c r="F309" s="3735">
        <v>5</v>
      </c>
      <c r="G309" s="3754">
        <v>5</v>
      </c>
    </row>
    <row r="310" spans="1:7" ht="13.5" thickBot="1">
      <c r="A310" s="3738"/>
      <c r="B310" s="27" t="s">
        <v>428</v>
      </c>
      <c r="C310" s="3740"/>
      <c r="D310" s="3736"/>
      <c r="E310" s="3742"/>
      <c r="F310" s="3736"/>
      <c r="G310" s="3754"/>
    </row>
    <row r="311" spans="1:7" ht="13.5" thickBot="1">
      <c r="A311" s="3694" t="s">
        <v>73</v>
      </c>
      <c r="B311" s="3695"/>
      <c r="C311" s="3695"/>
      <c r="D311" s="3695"/>
      <c r="E311" s="3696"/>
      <c r="F311" s="3696"/>
      <c r="G311" s="48"/>
    </row>
    <row r="312" spans="1:7" ht="40.5" customHeight="1" thickBot="1">
      <c r="A312" s="3703" t="s">
        <v>668</v>
      </c>
      <c r="B312" s="3704"/>
      <c r="C312" s="3704"/>
      <c r="D312" s="3704"/>
      <c r="E312" s="3705"/>
      <c r="F312" s="3705"/>
      <c r="G312" s="49"/>
    </row>
    <row r="313" spans="1:7" ht="13.5" thickBot="1">
      <c r="A313" s="11" t="s">
        <v>100</v>
      </c>
      <c r="B313" s="8" t="s">
        <v>178</v>
      </c>
      <c r="C313" s="9" t="s">
        <v>202</v>
      </c>
      <c r="D313" s="3681">
        <v>2</v>
      </c>
      <c r="E313" s="3682"/>
      <c r="F313" s="10">
        <v>2</v>
      </c>
      <c r="G313" s="45">
        <v>2</v>
      </c>
    </row>
    <row r="314" spans="1:7" ht="13.5" thickBot="1">
      <c r="A314" s="11" t="s">
        <v>429</v>
      </c>
      <c r="B314" s="8" t="s">
        <v>180</v>
      </c>
      <c r="C314" s="9" t="s">
        <v>202</v>
      </c>
      <c r="D314" s="3681">
        <v>5</v>
      </c>
      <c r="E314" s="3682"/>
      <c r="F314" s="10">
        <v>10</v>
      </c>
      <c r="G314" s="45">
        <v>5</v>
      </c>
    </row>
    <row r="315" spans="1:7" ht="13.5" thickBot="1">
      <c r="A315" s="11" t="s">
        <v>179</v>
      </c>
      <c r="B315" s="8" t="s">
        <v>181</v>
      </c>
      <c r="C315" s="9" t="s">
        <v>202</v>
      </c>
      <c r="D315" s="3681">
        <v>2</v>
      </c>
      <c r="E315" s="3682"/>
      <c r="F315" s="10">
        <v>2</v>
      </c>
      <c r="G315" s="45">
        <v>2</v>
      </c>
    </row>
    <row r="316" spans="1:7" ht="13.5" thickBot="1">
      <c r="A316" s="11" t="s">
        <v>248</v>
      </c>
      <c r="B316" s="8" t="s">
        <v>75</v>
      </c>
      <c r="C316" s="9" t="s">
        <v>202</v>
      </c>
      <c r="D316" s="3681">
        <v>0</v>
      </c>
      <c r="E316" s="3682"/>
      <c r="F316" s="10">
        <v>0</v>
      </c>
      <c r="G316" s="45">
        <v>1</v>
      </c>
    </row>
    <row r="317" spans="1:7" ht="26.25" thickBot="1">
      <c r="A317" s="28" t="s">
        <v>669</v>
      </c>
      <c r="B317" s="8" t="s">
        <v>76</v>
      </c>
      <c r="C317" s="9" t="s">
        <v>77</v>
      </c>
      <c r="D317" s="3681">
        <v>600</v>
      </c>
      <c r="E317" s="3682"/>
      <c r="F317" s="10">
        <v>700</v>
      </c>
      <c r="G317" s="45">
        <v>500</v>
      </c>
    </row>
    <row r="318" spans="1:7" ht="13.5" thickBot="1">
      <c r="A318" s="13" t="s">
        <v>474</v>
      </c>
      <c r="B318" s="8" t="s">
        <v>475</v>
      </c>
      <c r="C318" s="9" t="s">
        <v>77</v>
      </c>
      <c r="D318" s="3681">
        <v>50</v>
      </c>
      <c r="E318" s="3682"/>
      <c r="F318" s="10">
        <v>50</v>
      </c>
      <c r="G318" s="45">
        <v>40</v>
      </c>
    </row>
    <row r="319" spans="1:7" ht="13.5" thickBot="1">
      <c r="A319" s="13" t="s">
        <v>151</v>
      </c>
      <c r="B319" s="8" t="s">
        <v>405</v>
      </c>
      <c r="C319" s="9" t="s">
        <v>202</v>
      </c>
      <c r="D319" s="3681">
        <v>1</v>
      </c>
      <c r="E319" s="3682"/>
      <c r="F319" s="10">
        <v>1</v>
      </c>
      <c r="G319" s="45">
        <v>1</v>
      </c>
    </row>
    <row r="320" spans="1:7" ht="13.5" thickBot="1">
      <c r="A320" s="13" t="s">
        <v>670</v>
      </c>
      <c r="B320" s="8" t="s">
        <v>232</v>
      </c>
      <c r="C320" s="9" t="s">
        <v>202</v>
      </c>
      <c r="D320" s="3681">
        <v>1</v>
      </c>
      <c r="E320" s="3682"/>
      <c r="F320" s="10">
        <v>1</v>
      </c>
      <c r="G320" s="45">
        <v>1</v>
      </c>
    </row>
    <row r="321" spans="1:7" ht="13.5" thickBot="1">
      <c r="A321" s="13" t="s">
        <v>671</v>
      </c>
      <c r="B321" s="8" t="s">
        <v>402</v>
      </c>
      <c r="C321" s="9" t="s">
        <v>202</v>
      </c>
      <c r="D321" s="3681">
        <v>1</v>
      </c>
      <c r="E321" s="3682"/>
      <c r="F321" s="10">
        <v>1</v>
      </c>
      <c r="G321" s="45">
        <v>1</v>
      </c>
    </row>
    <row r="322" spans="1:7" ht="14.25" thickBot="1">
      <c r="A322" s="3699" t="s">
        <v>182</v>
      </c>
      <c r="B322" s="3700"/>
      <c r="C322" s="3700"/>
      <c r="D322" s="3700"/>
      <c r="E322" s="3701"/>
      <c r="F322" s="3701"/>
      <c r="G322" s="47"/>
    </row>
    <row r="323" spans="1:7" ht="14.25" thickBot="1">
      <c r="A323" s="3699" t="s">
        <v>200</v>
      </c>
      <c r="B323" s="3700"/>
      <c r="C323" s="3700"/>
      <c r="D323" s="3700"/>
      <c r="E323" s="3701"/>
      <c r="F323" s="3701"/>
      <c r="G323" s="47"/>
    </row>
    <row r="324" spans="1:7" ht="13.5" thickBot="1">
      <c r="A324" s="7" t="s">
        <v>672</v>
      </c>
      <c r="B324" s="8" t="s">
        <v>214</v>
      </c>
      <c r="C324" s="9" t="s">
        <v>230</v>
      </c>
      <c r="D324" s="3681">
        <v>1600</v>
      </c>
      <c r="E324" s="3682"/>
      <c r="F324" s="10">
        <v>1700</v>
      </c>
      <c r="G324" s="45">
        <v>1500</v>
      </c>
    </row>
    <row r="325" spans="1:7" ht="26.25" thickBot="1">
      <c r="A325" s="7" t="s">
        <v>673</v>
      </c>
      <c r="B325" s="8" t="s">
        <v>521</v>
      </c>
      <c r="C325" s="9" t="s">
        <v>577</v>
      </c>
      <c r="D325" s="3716">
        <v>40000</v>
      </c>
      <c r="E325" s="3717"/>
      <c r="F325" s="17">
        <v>50000</v>
      </c>
      <c r="G325" s="52">
        <v>30000</v>
      </c>
    </row>
    <row r="326" spans="1:7" ht="13.5" thickBot="1">
      <c r="A326" s="3694" t="s">
        <v>73</v>
      </c>
      <c r="B326" s="3695"/>
      <c r="C326" s="3695"/>
      <c r="D326" s="3695"/>
      <c r="E326" s="3696"/>
      <c r="F326" s="3696"/>
      <c r="G326" s="48"/>
    </row>
    <row r="327" spans="1:7" ht="27" customHeight="1" thickBot="1">
      <c r="A327" s="3703" t="s">
        <v>317</v>
      </c>
      <c r="B327" s="3704"/>
      <c r="C327" s="3704"/>
      <c r="D327" s="3704"/>
      <c r="E327" s="3705"/>
      <c r="F327" s="3705"/>
      <c r="G327" s="49"/>
    </row>
    <row r="328" spans="1:7" ht="13.5" thickBot="1">
      <c r="A328" s="11" t="s">
        <v>674</v>
      </c>
      <c r="B328" s="18" t="s">
        <v>318</v>
      </c>
      <c r="C328" s="9" t="s">
        <v>202</v>
      </c>
      <c r="D328" s="3681">
        <v>3</v>
      </c>
      <c r="E328" s="3682"/>
      <c r="F328" s="10">
        <v>3</v>
      </c>
      <c r="G328" s="45">
        <v>3</v>
      </c>
    </row>
    <row r="329" spans="1:7" ht="13.5" thickBot="1">
      <c r="A329" s="11" t="s">
        <v>435</v>
      </c>
      <c r="B329" s="18" t="s">
        <v>44</v>
      </c>
      <c r="C329" s="9" t="s">
        <v>202</v>
      </c>
      <c r="D329" s="3681">
        <v>3</v>
      </c>
      <c r="E329" s="3682"/>
      <c r="F329" s="10">
        <v>3</v>
      </c>
      <c r="G329" s="45">
        <v>5</v>
      </c>
    </row>
    <row r="330" spans="1:7" ht="27" customHeight="1" thickBot="1">
      <c r="A330" s="3703" t="s">
        <v>675</v>
      </c>
      <c r="B330" s="3704"/>
      <c r="C330" s="3704"/>
      <c r="D330" s="3704"/>
      <c r="E330" s="3705"/>
      <c r="F330" s="3705"/>
      <c r="G330" s="49"/>
    </row>
    <row r="331" spans="1:7" ht="13.5" thickBot="1">
      <c r="A331" s="13" t="s">
        <v>590</v>
      </c>
      <c r="B331" s="8" t="s">
        <v>462</v>
      </c>
      <c r="C331" s="9" t="s">
        <v>202</v>
      </c>
      <c r="D331" s="3681">
        <v>1</v>
      </c>
      <c r="E331" s="3682"/>
      <c r="F331" s="10">
        <v>1</v>
      </c>
      <c r="G331" s="45">
        <v>1</v>
      </c>
    </row>
    <row r="332" spans="1:7" ht="26.25" thickBot="1">
      <c r="A332" s="13" t="s">
        <v>573</v>
      </c>
      <c r="B332" s="8" t="s">
        <v>591</v>
      </c>
      <c r="C332" s="9" t="s">
        <v>202</v>
      </c>
      <c r="D332" s="3681">
        <v>1</v>
      </c>
      <c r="E332" s="3682"/>
      <c r="F332" s="10">
        <v>0</v>
      </c>
      <c r="G332" s="45">
        <v>0</v>
      </c>
    </row>
    <row r="333" spans="1:7" ht="13.5" thickBot="1">
      <c r="A333" s="13" t="s">
        <v>676</v>
      </c>
      <c r="B333" s="8" t="s">
        <v>204</v>
      </c>
      <c r="C333" s="9" t="s">
        <v>202</v>
      </c>
      <c r="D333" s="3681">
        <v>3</v>
      </c>
      <c r="E333" s="3682"/>
      <c r="F333" s="10">
        <v>3</v>
      </c>
      <c r="G333" s="45">
        <v>6</v>
      </c>
    </row>
    <row r="334" spans="1:7" ht="39" thickBot="1">
      <c r="A334" s="13" t="s">
        <v>677</v>
      </c>
      <c r="B334" s="8" t="s">
        <v>574</v>
      </c>
      <c r="C334" s="9" t="s">
        <v>314</v>
      </c>
      <c r="D334" s="3681">
        <v>20</v>
      </c>
      <c r="E334" s="3682"/>
      <c r="F334" s="10">
        <v>30</v>
      </c>
      <c r="G334" s="45">
        <v>10</v>
      </c>
    </row>
    <row r="335" spans="1:7" ht="40.5" customHeight="1" thickBot="1">
      <c r="A335" s="3743" t="s">
        <v>678</v>
      </c>
      <c r="B335" s="3744"/>
      <c r="C335" s="3744"/>
      <c r="D335" s="3744"/>
      <c r="E335" s="3744"/>
      <c r="F335" s="3744"/>
      <c r="G335" s="58"/>
    </row>
    <row r="336" spans="1:7" ht="58.5" customHeight="1">
      <c r="A336" s="3733" t="s">
        <v>99</v>
      </c>
      <c r="B336" s="19"/>
      <c r="C336" s="3709" t="s">
        <v>98</v>
      </c>
      <c r="D336" s="3712">
        <v>5</v>
      </c>
      <c r="E336" s="3713"/>
      <c r="F336" s="3712">
        <v>10</v>
      </c>
      <c r="G336" s="3753">
        <v>9</v>
      </c>
    </row>
    <row r="337" spans="1:7" ht="13.5" thickBot="1">
      <c r="A337" s="3734"/>
      <c r="B337" s="18" t="s">
        <v>349</v>
      </c>
      <c r="C337" s="3711"/>
      <c r="D337" s="3714"/>
      <c r="E337" s="3715"/>
      <c r="F337" s="3714"/>
      <c r="G337" s="3753"/>
    </row>
    <row r="338" spans="1:7" ht="13.5" thickBot="1">
      <c r="A338" s="13" t="s">
        <v>409</v>
      </c>
      <c r="B338" s="18" t="s">
        <v>432</v>
      </c>
      <c r="C338" s="9" t="s">
        <v>202</v>
      </c>
      <c r="D338" s="3681">
        <v>0</v>
      </c>
      <c r="E338" s="3682"/>
      <c r="F338" s="10">
        <v>0</v>
      </c>
      <c r="G338" s="45">
        <v>2</v>
      </c>
    </row>
    <row r="339" spans="1:7" ht="39" thickBot="1">
      <c r="A339" s="13" t="s">
        <v>244</v>
      </c>
      <c r="B339" s="18" t="s">
        <v>243</v>
      </c>
      <c r="C339" s="9" t="s">
        <v>202</v>
      </c>
      <c r="D339" s="3681">
        <v>1</v>
      </c>
      <c r="E339" s="3682"/>
      <c r="F339" s="10">
        <v>0</v>
      </c>
      <c r="G339" s="45">
        <v>0</v>
      </c>
    </row>
    <row r="340" spans="1:7" ht="14.25" thickBot="1">
      <c r="A340" s="3699" t="s">
        <v>239</v>
      </c>
      <c r="B340" s="3700"/>
      <c r="C340" s="3700"/>
      <c r="D340" s="3700"/>
      <c r="E340" s="3700"/>
      <c r="F340" s="3700"/>
      <c r="G340" s="59"/>
    </row>
    <row r="341" spans="1:7" ht="14.25" thickBot="1">
      <c r="A341" s="3699" t="s">
        <v>200</v>
      </c>
      <c r="B341" s="3700"/>
      <c r="C341" s="3700"/>
      <c r="D341" s="3700"/>
      <c r="E341" s="3700"/>
      <c r="F341" s="3700"/>
      <c r="G341" s="59"/>
    </row>
    <row r="342" spans="1:7" ht="26.25" thickBot="1">
      <c r="A342" s="7" t="s">
        <v>436</v>
      </c>
      <c r="B342" s="18" t="s">
        <v>240</v>
      </c>
      <c r="C342" s="9" t="s">
        <v>202</v>
      </c>
      <c r="D342" s="3681">
        <v>1</v>
      </c>
      <c r="E342" s="3682"/>
      <c r="F342" s="10">
        <v>1</v>
      </c>
      <c r="G342" s="45">
        <v>1</v>
      </c>
    </row>
    <row r="343" spans="1:7" ht="13.5" thickBot="1">
      <c r="A343" s="3694" t="s">
        <v>73</v>
      </c>
      <c r="B343" s="3695"/>
      <c r="C343" s="3695"/>
      <c r="D343" s="3695"/>
      <c r="E343" s="3695"/>
      <c r="F343" s="3695"/>
      <c r="G343" s="60"/>
    </row>
    <row r="344" spans="1:7" ht="14.25" thickBot="1">
      <c r="A344" s="3703" t="s">
        <v>241</v>
      </c>
      <c r="B344" s="3704"/>
      <c r="C344" s="3704"/>
      <c r="D344" s="3704"/>
      <c r="E344" s="3704"/>
      <c r="F344" s="3704"/>
      <c r="G344" s="61"/>
    </row>
    <row r="345" spans="1:7" ht="13.5" thickBot="1">
      <c r="A345" s="11" t="s">
        <v>8</v>
      </c>
      <c r="B345" s="8" t="s">
        <v>438</v>
      </c>
      <c r="C345" s="9" t="s">
        <v>314</v>
      </c>
      <c r="D345" s="3681">
        <v>20</v>
      </c>
      <c r="E345" s="3682"/>
      <c r="F345" s="10">
        <v>20</v>
      </c>
      <c r="G345" s="45">
        <v>20</v>
      </c>
    </row>
    <row r="346" spans="1:7" ht="13.5" thickBot="1">
      <c r="A346" s="11" t="s">
        <v>437</v>
      </c>
      <c r="B346" s="8" t="s">
        <v>263</v>
      </c>
      <c r="C346" s="9" t="s">
        <v>202</v>
      </c>
      <c r="D346" s="3681">
        <v>1</v>
      </c>
      <c r="E346" s="3682"/>
      <c r="F346" s="10">
        <v>0</v>
      </c>
      <c r="G346" s="45">
        <v>0</v>
      </c>
    </row>
    <row r="347" spans="1:7" ht="13.5" thickBot="1">
      <c r="A347" s="11" t="s">
        <v>336</v>
      </c>
      <c r="B347" s="8" t="s">
        <v>337</v>
      </c>
      <c r="C347" s="9" t="s">
        <v>202</v>
      </c>
      <c r="D347" s="3681">
        <v>1</v>
      </c>
      <c r="E347" s="3682"/>
      <c r="F347" s="10">
        <v>1</v>
      </c>
      <c r="G347" s="45">
        <v>0</v>
      </c>
    </row>
    <row r="348" spans="1:7" ht="13.5" thickBot="1">
      <c r="A348" s="11" t="s">
        <v>280</v>
      </c>
      <c r="B348" s="8" t="s">
        <v>281</v>
      </c>
      <c r="C348" s="9" t="s">
        <v>202</v>
      </c>
      <c r="D348" s="3681">
        <v>1</v>
      </c>
      <c r="E348" s="3682"/>
      <c r="F348" s="10">
        <v>1</v>
      </c>
      <c r="G348" s="45">
        <v>1</v>
      </c>
    </row>
    <row r="349" spans="1:7" ht="27" customHeight="1" thickBot="1">
      <c r="A349" s="3703" t="s">
        <v>399</v>
      </c>
      <c r="B349" s="3704"/>
      <c r="C349" s="3704"/>
      <c r="D349" s="3704"/>
      <c r="E349" s="3704"/>
      <c r="F349" s="3704"/>
      <c r="G349" s="61"/>
    </row>
    <row r="350" spans="1:7" ht="13.5" thickBot="1">
      <c r="A350" s="13" t="s">
        <v>679</v>
      </c>
      <c r="B350" s="8" t="s">
        <v>322</v>
      </c>
      <c r="C350" s="9" t="s">
        <v>202</v>
      </c>
      <c r="D350" s="3681">
        <v>1</v>
      </c>
      <c r="E350" s="3682"/>
      <c r="F350" s="10">
        <v>1</v>
      </c>
      <c r="G350" s="45">
        <v>1</v>
      </c>
    </row>
    <row r="351" spans="1:7" ht="13.5" thickBot="1">
      <c r="A351" s="13" t="s">
        <v>262</v>
      </c>
      <c r="B351" s="8" t="s">
        <v>323</v>
      </c>
      <c r="C351" s="9" t="s">
        <v>202</v>
      </c>
      <c r="D351" s="3681">
        <v>1</v>
      </c>
      <c r="E351" s="3682"/>
      <c r="F351" s="10">
        <v>1</v>
      </c>
      <c r="G351" s="45">
        <v>1</v>
      </c>
    </row>
    <row r="352" spans="1:7" ht="26.25" thickBot="1">
      <c r="A352" s="13" t="s">
        <v>401</v>
      </c>
      <c r="B352" s="8" t="s">
        <v>400</v>
      </c>
      <c r="C352" s="9" t="s">
        <v>314</v>
      </c>
      <c r="D352" s="3681">
        <v>100</v>
      </c>
      <c r="E352" s="3682"/>
      <c r="F352" s="10">
        <v>100</v>
      </c>
      <c r="G352" s="45">
        <v>100</v>
      </c>
    </row>
    <row r="353" spans="1:7" ht="13.5" thickBot="1">
      <c r="A353" s="13" t="s">
        <v>58</v>
      </c>
      <c r="B353" s="8" t="s">
        <v>57</v>
      </c>
      <c r="C353" s="9" t="s">
        <v>202</v>
      </c>
      <c r="D353" s="3681">
        <v>0</v>
      </c>
      <c r="E353" s="3682"/>
      <c r="F353" s="10">
        <v>0</v>
      </c>
      <c r="G353" s="45">
        <v>7</v>
      </c>
    </row>
    <row r="354" spans="1:7" ht="31.5" customHeight="1" thickBot="1">
      <c r="A354" s="3745" t="s">
        <v>203</v>
      </c>
      <c r="B354" s="3746"/>
      <c r="C354" s="3746"/>
      <c r="D354" s="3746"/>
      <c r="E354" s="3685"/>
      <c r="F354" s="3685"/>
      <c r="G354" s="46"/>
    </row>
    <row r="355" spans="1:7" ht="27" customHeight="1" thickBot="1">
      <c r="A355" s="3699" t="s">
        <v>223</v>
      </c>
      <c r="B355" s="3700"/>
      <c r="C355" s="3700"/>
      <c r="D355" s="3700"/>
      <c r="E355" s="3701"/>
      <c r="F355" s="3701"/>
      <c r="G355" s="47"/>
    </row>
    <row r="356" spans="1:7" ht="14.25" thickBot="1">
      <c r="A356" s="3699" t="s">
        <v>200</v>
      </c>
      <c r="B356" s="3700"/>
      <c r="C356" s="3700"/>
      <c r="D356" s="3700"/>
      <c r="E356" s="3701"/>
      <c r="F356" s="3701"/>
      <c r="G356" s="47"/>
    </row>
    <row r="357" spans="1:7" ht="26.25" thickBot="1">
      <c r="A357" s="7" t="s">
        <v>680</v>
      </c>
      <c r="B357" s="18" t="s">
        <v>224</v>
      </c>
      <c r="C357" s="9" t="s">
        <v>202</v>
      </c>
      <c r="D357" s="3681">
        <v>1</v>
      </c>
      <c r="E357" s="3682"/>
      <c r="F357" s="10">
        <v>1</v>
      </c>
      <c r="G357" s="45">
        <v>1</v>
      </c>
    </row>
    <row r="358" spans="1:7" ht="13.5" thickBot="1">
      <c r="A358" s="7" t="s">
        <v>53</v>
      </c>
      <c r="B358" s="18" t="s">
        <v>524</v>
      </c>
      <c r="C358" s="9" t="s">
        <v>314</v>
      </c>
      <c r="D358" s="3681">
        <v>100</v>
      </c>
      <c r="E358" s="3682"/>
      <c r="F358" s="10">
        <v>100</v>
      </c>
      <c r="G358" s="45">
        <v>100</v>
      </c>
    </row>
    <row r="359" spans="1:7" ht="13.5" thickBot="1">
      <c r="A359" s="3694" t="s">
        <v>73</v>
      </c>
      <c r="B359" s="3695"/>
      <c r="C359" s="3695"/>
      <c r="D359" s="3695"/>
      <c r="E359" s="3696"/>
      <c r="F359" s="3696"/>
      <c r="G359" s="48"/>
    </row>
    <row r="360" spans="1:7" ht="14.25" thickBot="1">
      <c r="A360" s="3703" t="s">
        <v>225</v>
      </c>
      <c r="B360" s="3704"/>
      <c r="C360" s="3704"/>
      <c r="D360" s="3704"/>
      <c r="E360" s="3705"/>
      <c r="F360" s="3705"/>
      <c r="G360" s="49"/>
    </row>
    <row r="361" spans="1:7" ht="13.5" thickBot="1">
      <c r="A361" s="11" t="s">
        <v>681</v>
      </c>
      <c r="B361" s="18" t="s">
        <v>2</v>
      </c>
      <c r="C361" s="9" t="s">
        <v>3</v>
      </c>
      <c r="D361" s="3729">
        <v>35000</v>
      </c>
      <c r="E361" s="3730"/>
      <c r="F361" s="24">
        <v>36000</v>
      </c>
      <c r="G361" s="55">
        <v>34000</v>
      </c>
    </row>
    <row r="362" spans="1:7" ht="13.5" thickBot="1">
      <c r="A362" s="11" t="s">
        <v>82</v>
      </c>
      <c r="B362" s="18" t="s">
        <v>83</v>
      </c>
      <c r="C362" s="9" t="s">
        <v>34</v>
      </c>
      <c r="D362" s="3729">
        <v>65000</v>
      </c>
      <c r="E362" s="3730"/>
      <c r="F362" s="24">
        <v>65000</v>
      </c>
      <c r="G362" s="55">
        <v>65000</v>
      </c>
    </row>
    <row r="363" spans="1:7" ht="13.5" thickBot="1">
      <c r="A363" s="11" t="s">
        <v>507</v>
      </c>
      <c r="B363" s="18" t="s">
        <v>306</v>
      </c>
      <c r="C363" s="9" t="s">
        <v>3</v>
      </c>
      <c r="D363" s="3681">
        <v>42</v>
      </c>
      <c r="E363" s="3682"/>
      <c r="F363" s="10">
        <v>42</v>
      </c>
      <c r="G363" s="45">
        <v>42</v>
      </c>
    </row>
    <row r="364" spans="1:7" ht="13.5" thickBot="1">
      <c r="A364" s="11" t="s">
        <v>682</v>
      </c>
      <c r="B364" s="18" t="s">
        <v>426</v>
      </c>
      <c r="C364" s="9" t="s">
        <v>3</v>
      </c>
      <c r="D364" s="3681">
        <v>90</v>
      </c>
      <c r="E364" s="3682"/>
      <c r="F364" s="10">
        <v>90</v>
      </c>
      <c r="G364" s="45">
        <v>90</v>
      </c>
    </row>
    <row r="365" spans="1:7" ht="27" customHeight="1" thickBot="1">
      <c r="A365" s="3703" t="s">
        <v>307</v>
      </c>
      <c r="B365" s="3704"/>
      <c r="C365" s="3704"/>
      <c r="D365" s="3704"/>
      <c r="E365" s="3705"/>
      <c r="F365" s="3705"/>
      <c r="G365" s="49"/>
    </row>
    <row r="366" spans="1:7" ht="26.25" thickBot="1">
      <c r="A366" s="13" t="s">
        <v>354</v>
      </c>
      <c r="B366" s="18" t="s">
        <v>2</v>
      </c>
      <c r="C366" s="9" t="s">
        <v>202</v>
      </c>
      <c r="D366" s="3681">
        <v>0.5</v>
      </c>
      <c r="E366" s="3682"/>
      <c r="F366" s="10">
        <v>1</v>
      </c>
      <c r="G366" s="45">
        <v>0.2</v>
      </c>
    </row>
    <row r="367" spans="1:7" ht="13.5" thickBot="1">
      <c r="A367" s="11" t="s">
        <v>49</v>
      </c>
      <c r="B367" s="8" t="s">
        <v>83</v>
      </c>
      <c r="C367" s="9" t="s">
        <v>192</v>
      </c>
      <c r="D367" s="3681">
        <v>2100</v>
      </c>
      <c r="E367" s="3682"/>
      <c r="F367" s="10">
        <v>2100</v>
      </c>
      <c r="G367" s="45">
        <v>2100</v>
      </c>
    </row>
    <row r="368" spans="1:7" ht="13.5" thickBot="1">
      <c r="A368" s="11" t="s">
        <v>50</v>
      </c>
      <c r="B368" s="8" t="s">
        <v>306</v>
      </c>
      <c r="C368" s="9" t="s">
        <v>192</v>
      </c>
      <c r="D368" s="3681">
        <v>920</v>
      </c>
      <c r="E368" s="3682"/>
      <c r="F368" s="10">
        <v>920</v>
      </c>
      <c r="G368" s="45">
        <v>1500</v>
      </c>
    </row>
    <row r="369" spans="1:7" ht="13.5" thickBot="1">
      <c r="A369" s="11" t="s">
        <v>191</v>
      </c>
      <c r="B369" s="8" t="s">
        <v>426</v>
      </c>
      <c r="C369" s="9" t="s">
        <v>192</v>
      </c>
      <c r="D369" s="3681">
        <v>2900</v>
      </c>
      <c r="E369" s="3682"/>
      <c r="F369" s="10">
        <v>2900</v>
      </c>
      <c r="G369" s="45">
        <v>0</v>
      </c>
    </row>
    <row r="370" spans="1:7" ht="13.5" thickBot="1">
      <c r="A370" s="11" t="s">
        <v>683</v>
      </c>
      <c r="B370" s="8" t="s">
        <v>213</v>
      </c>
      <c r="C370" s="9" t="s">
        <v>192</v>
      </c>
      <c r="D370" s="3681">
        <v>3000</v>
      </c>
      <c r="E370" s="3682"/>
      <c r="F370" s="10">
        <v>3000</v>
      </c>
      <c r="G370" s="45">
        <v>3000</v>
      </c>
    </row>
    <row r="371" spans="1:7" ht="26.25" thickBot="1">
      <c r="A371" s="13" t="s">
        <v>684</v>
      </c>
      <c r="B371" s="18" t="s">
        <v>528</v>
      </c>
      <c r="C371" s="9" t="s">
        <v>469</v>
      </c>
      <c r="D371" s="3681">
        <v>0</v>
      </c>
      <c r="E371" s="3682"/>
      <c r="F371" s="10">
        <v>0</v>
      </c>
      <c r="G371" s="45">
        <v>724</v>
      </c>
    </row>
    <row r="372" spans="1:7" ht="13.5" thickBot="1">
      <c r="A372" s="13" t="s">
        <v>685</v>
      </c>
      <c r="B372" s="18" t="s">
        <v>61</v>
      </c>
      <c r="C372" s="9" t="s">
        <v>202</v>
      </c>
      <c r="D372" s="3681">
        <v>0</v>
      </c>
      <c r="E372" s="3682"/>
      <c r="F372" s="10">
        <v>0</v>
      </c>
      <c r="G372" s="45">
        <v>2</v>
      </c>
    </row>
    <row r="373" spans="1:7" ht="27" customHeight="1" thickBot="1">
      <c r="A373" s="3699" t="s">
        <v>309</v>
      </c>
      <c r="B373" s="3700"/>
      <c r="C373" s="3700"/>
      <c r="D373" s="3700"/>
      <c r="E373" s="3701"/>
      <c r="F373" s="3701"/>
      <c r="G373" s="47"/>
    </row>
    <row r="374" spans="1:7" ht="14.25" thickBot="1">
      <c r="A374" s="3699" t="s">
        <v>200</v>
      </c>
      <c r="B374" s="3700"/>
      <c r="C374" s="3700"/>
      <c r="D374" s="3700"/>
      <c r="E374" s="3701"/>
      <c r="F374" s="3701"/>
      <c r="G374" s="47"/>
    </row>
    <row r="375" spans="1:7" ht="26.25" thickBot="1">
      <c r="A375" s="7" t="s">
        <v>356</v>
      </c>
      <c r="B375" s="18" t="s">
        <v>295</v>
      </c>
      <c r="C375" s="9" t="s">
        <v>202</v>
      </c>
      <c r="D375" s="3681">
        <v>4</v>
      </c>
      <c r="E375" s="3682"/>
      <c r="F375" s="10">
        <v>5</v>
      </c>
      <c r="G375" s="45">
        <v>4</v>
      </c>
    </row>
    <row r="376" spans="1:7" ht="26.25" thickBot="1">
      <c r="A376" s="7" t="s">
        <v>500</v>
      </c>
      <c r="B376" s="18" t="s">
        <v>296</v>
      </c>
      <c r="C376" s="9" t="s">
        <v>314</v>
      </c>
      <c r="D376" s="3681">
        <v>40</v>
      </c>
      <c r="E376" s="3682"/>
      <c r="F376" s="10">
        <v>40</v>
      </c>
      <c r="G376" s="45">
        <v>40</v>
      </c>
    </row>
    <row r="377" spans="1:7" ht="26.25" thickBot="1">
      <c r="A377" s="7" t="s">
        <v>110</v>
      </c>
      <c r="B377" s="18" t="s">
        <v>111</v>
      </c>
      <c r="C377" s="9" t="s">
        <v>314</v>
      </c>
      <c r="D377" s="3747" t="s">
        <v>503</v>
      </c>
      <c r="E377" s="3748"/>
      <c r="F377" s="29">
        <v>0.6</v>
      </c>
      <c r="G377" s="62">
        <v>0.2</v>
      </c>
    </row>
    <row r="378" spans="1:7" ht="13.5" thickBot="1">
      <c r="A378" s="7" t="s">
        <v>686</v>
      </c>
      <c r="B378" s="18" t="s">
        <v>525</v>
      </c>
      <c r="C378" s="9" t="s">
        <v>176</v>
      </c>
      <c r="D378" s="3747" t="s">
        <v>586</v>
      </c>
      <c r="E378" s="3748"/>
      <c r="F378" s="29" t="s">
        <v>586</v>
      </c>
      <c r="G378" s="62" t="s">
        <v>116</v>
      </c>
    </row>
    <row r="379" spans="1:7" ht="26.25" thickBot="1">
      <c r="A379" s="7" t="s">
        <v>687</v>
      </c>
      <c r="B379" s="18" t="s">
        <v>43</v>
      </c>
      <c r="C379" s="9" t="s">
        <v>314</v>
      </c>
      <c r="D379" s="3747">
        <v>100</v>
      </c>
      <c r="E379" s="3748"/>
      <c r="F379" s="29">
        <v>100</v>
      </c>
      <c r="G379" s="62">
        <v>100</v>
      </c>
    </row>
    <row r="380" spans="1:7" ht="13.5" thickBot="1">
      <c r="A380" s="7" t="s">
        <v>504</v>
      </c>
      <c r="B380" s="18" t="s">
        <v>505</v>
      </c>
      <c r="C380" s="9" t="s">
        <v>202</v>
      </c>
      <c r="D380" s="3747">
        <v>2</v>
      </c>
      <c r="E380" s="3748"/>
      <c r="F380" s="29">
        <v>2</v>
      </c>
      <c r="G380" s="62">
        <v>0</v>
      </c>
    </row>
    <row r="381" spans="1:7" ht="13.5" thickBot="1">
      <c r="A381" s="7" t="s">
        <v>688</v>
      </c>
      <c r="B381" s="18" t="s">
        <v>97</v>
      </c>
      <c r="C381" s="9" t="s">
        <v>202</v>
      </c>
      <c r="D381" s="3747">
        <v>10</v>
      </c>
      <c r="E381" s="3748"/>
      <c r="F381" s="29">
        <v>10</v>
      </c>
      <c r="G381" s="62">
        <v>5</v>
      </c>
    </row>
    <row r="382" spans="1:7" ht="13.5" thickBot="1">
      <c r="A382" s="3694" t="s">
        <v>73</v>
      </c>
      <c r="B382" s="3695"/>
      <c r="C382" s="3695"/>
      <c r="D382" s="3695"/>
      <c r="E382" s="3696"/>
      <c r="F382" s="3696"/>
      <c r="G382" s="48"/>
    </row>
    <row r="383" spans="1:7" ht="27" customHeight="1" thickBot="1">
      <c r="A383" s="3703" t="s">
        <v>168</v>
      </c>
      <c r="B383" s="3704"/>
      <c r="C383" s="3704"/>
      <c r="D383" s="3704"/>
      <c r="E383" s="3705"/>
      <c r="F383" s="3705"/>
      <c r="G383" s="49"/>
    </row>
    <row r="384" spans="1:7" ht="13.5" thickBot="1">
      <c r="A384" s="13" t="s">
        <v>146</v>
      </c>
      <c r="B384" s="18" t="s">
        <v>169</v>
      </c>
      <c r="C384" s="9" t="s">
        <v>314</v>
      </c>
      <c r="D384" s="3681">
        <v>90</v>
      </c>
      <c r="E384" s="3682"/>
      <c r="F384" s="10">
        <v>100</v>
      </c>
      <c r="G384" s="45">
        <v>20</v>
      </c>
    </row>
    <row r="385" spans="1:7" ht="27" customHeight="1" thickBot="1">
      <c r="A385" s="3703" t="s">
        <v>550</v>
      </c>
      <c r="B385" s="3704"/>
      <c r="C385" s="3704"/>
      <c r="D385" s="3704"/>
      <c r="E385" s="3705"/>
      <c r="F385" s="3705"/>
      <c r="G385" s="49"/>
    </row>
    <row r="386" spans="1:7" ht="13.5" thickBot="1">
      <c r="A386" s="13" t="s">
        <v>345</v>
      </c>
      <c r="B386" s="18" t="s">
        <v>461</v>
      </c>
      <c r="C386" s="9" t="s">
        <v>202</v>
      </c>
      <c r="D386" s="3681">
        <v>2</v>
      </c>
      <c r="E386" s="3682"/>
      <c r="F386" s="10">
        <v>1</v>
      </c>
      <c r="G386" s="45">
        <v>3</v>
      </c>
    </row>
    <row r="387" spans="1:7" ht="26.25" thickBot="1">
      <c r="A387" s="13" t="s">
        <v>689</v>
      </c>
      <c r="B387" s="18" t="s">
        <v>28</v>
      </c>
      <c r="C387" s="9" t="s">
        <v>202</v>
      </c>
      <c r="D387" s="3681">
        <v>2</v>
      </c>
      <c r="E387" s="3682"/>
      <c r="F387" s="10">
        <v>2</v>
      </c>
      <c r="G387" s="45">
        <v>1</v>
      </c>
    </row>
    <row r="388" spans="1:7" ht="40.5" customHeight="1" thickBot="1">
      <c r="A388" s="3703" t="s">
        <v>690</v>
      </c>
      <c r="B388" s="3704"/>
      <c r="C388" s="3704"/>
      <c r="D388" s="3704"/>
      <c r="E388" s="3705"/>
      <c r="F388" s="3705"/>
      <c r="G388" s="49"/>
    </row>
    <row r="389" spans="1:7" ht="13.5" thickBot="1">
      <c r="A389" s="13" t="s">
        <v>529</v>
      </c>
      <c r="B389" s="8" t="s">
        <v>271</v>
      </c>
      <c r="C389" s="9" t="s">
        <v>469</v>
      </c>
      <c r="D389" s="3681">
        <v>1100</v>
      </c>
      <c r="E389" s="3682"/>
      <c r="F389" s="10">
        <v>1100</v>
      </c>
      <c r="G389" s="45">
        <v>0</v>
      </c>
    </row>
    <row r="390" spans="1:7" ht="13.5" thickBot="1">
      <c r="A390" s="13" t="s">
        <v>275</v>
      </c>
      <c r="B390" s="18" t="s">
        <v>140</v>
      </c>
      <c r="C390" s="9" t="s">
        <v>202</v>
      </c>
      <c r="D390" s="3681">
        <v>1</v>
      </c>
      <c r="E390" s="3682"/>
      <c r="F390" s="10">
        <v>1</v>
      </c>
      <c r="G390" s="45">
        <v>1</v>
      </c>
    </row>
    <row r="391" spans="1:7" ht="13.5" thickBot="1">
      <c r="A391" s="13" t="s">
        <v>30</v>
      </c>
      <c r="B391" s="18" t="s">
        <v>29</v>
      </c>
      <c r="C391" s="9" t="s">
        <v>202</v>
      </c>
      <c r="D391" s="3681">
        <v>0</v>
      </c>
      <c r="E391" s="3682"/>
      <c r="F391" s="10">
        <v>1</v>
      </c>
      <c r="G391" s="45">
        <v>0</v>
      </c>
    </row>
    <row r="392" spans="1:7" ht="14.25" thickBot="1">
      <c r="A392" s="3703" t="s">
        <v>276</v>
      </c>
      <c r="B392" s="3704"/>
      <c r="C392" s="3704"/>
      <c r="D392" s="3704"/>
      <c r="E392" s="3704"/>
      <c r="F392" s="3704"/>
      <c r="G392" s="61"/>
    </row>
    <row r="393" spans="1:7" ht="13.5" thickBot="1">
      <c r="A393" s="13" t="s">
        <v>291</v>
      </c>
      <c r="B393" s="18" t="s">
        <v>571</v>
      </c>
      <c r="C393" s="9" t="s">
        <v>202</v>
      </c>
      <c r="D393" s="3681">
        <v>8</v>
      </c>
      <c r="E393" s="3682"/>
      <c r="F393" s="10">
        <v>8</v>
      </c>
      <c r="G393" s="45">
        <v>14</v>
      </c>
    </row>
    <row r="394" spans="1:7" ht="13.5" thickBot="1">
      <c r="A394" s="13" t="s">
        <v>25</v>
      </c>
      <c r="B394" s="18" t="s">
        <v>460</v>
      </c>
      <c r="C394" s="9" t="s">
        <v>202</v>
      </c>
      <c r="D394" s="3681">
        <v>1</v>
      </c>
      <c r="E394" s="3682"/>
      <c r="F394" s="10">
        <v>1</v>
      </c>
      <c r="G394" s="45">
        <v>1</v>
      </c>
    </row>
    <row r="395" spans="1:7" ht="40.5" customHeight="1" thickBot="1">
      <c r="A395" s="3703" t="s">
        <v>691</v>
      </c>
      <c r="B395" s="3704"/>
      <c r="C395" s="3704"/>
      <c r="D395" s="3704"/>
      <c r="E395" s="3705"/>
      <c r="F395" s="3705"/>
      <c r="G395" s="49"/>
    </row>
    <row r="396" spans="1:7" ht="13.5" thickBot="1">
      <c r="A396" s="13" t="s">
        <v>499</v>
      </c>
      <c r="B396" s="18" t="s">
        <v>320</v>
      </c>
      <c r="C396" s="9" t="s">
        <v>202</v>
      </c>
      <c r="D396" s="3718">
        <v>2</v>
      </c>
      <c r="E396" s="3719"/>
      <c r="F396" s="16">
        <v>3</v>
      </c>
      <c r="G396" s="51">
        <v>2</v>
      </c>
    </row>
    <row r="397" spans="1:7" ht="40.5" customHeight="1" thickBot="1">
      <c r="A397" s="3699" t="s">
        <v>497</v>
      </c>
      <c r="B397" s="3700"/>
      <c r="C397" s="3700"/>
      <c r="D397" s="3700"/>
      <c r="E397" s="3701"/>
      <c r="F397" s="3701"/>
      <c r="G397" s="47"/>
    </row>
    <row r="398" spans="1:7" ht="14.25" thickBot="1">
      <c r="A398" s="3699" t="s">
        <v>200</v>
      </c>
      <c r="B398" s="3700"/>
      <c r="C398" s="3700"/>
      <c r="D398" s="3700"/>
      <c r="E398" s="3701"/>
      <c r="F398" s="3701"/>
      <c r="G398" s="47"/>
    </row>
    <row r="399" spans="1:7" ht="26.25" thickBot="1">
      <c r="A399" s="7" t="s">
        <v>198</v>
      </c>
      <c r="B399" s="8" t="s">
        <v>498</v>
      </c>
      <c r="C399" s="9" t="s">
        <v>314</v>
      </c>
      <c r="D399" s="3718">
        <v>99</v>
      </c>
      <c r="E399" s="3719"/>
      <c r="F399" s="16">
        <v>99</v>
      </c>
      <c r="G399" s="51">
        <v>99</v>
      </c>
    </row>
    <row r="400" spans="1:7" ht="13.5" thickBot="1">
      <c r="A400" s="3694" t="s">
        <v>73</v>
      </c>
      <c r="B400" s="3695"/>
      <c r="C400" s="3695"/>
      <c r="D400" s="3695"/>
      <c r="E400" s="3696"/>
      <c r="F400" s="3696"/>
      <c r="G400" s="48"/>
    </row>
    <row r="401" spans="1:7" ht="27" customHeight="1" thickBot="1">
      <c r="A401" s="3703" t="s">
        <v>101</v>
      </c>
      <c r="B401" s="3704"/>
      <c r="C401" s="3704"/>
      <c r="D401" s="3704"/>
      <c r="E401" s="3705"/>
      <c r="F401" s="3705"/>
      <c r="G401" s="49"/>
    </row>
    <row r="402" spans="1:7" ht="13.5" thickBot="1">
      <c r="A402" s="11" t="s">
        <v>518</v>
      </c>
      <c r="B402" s="8" t="s">
        <v>165</v>
      </c>
      <c r="C402" s="9" t="s">
        <v>158</v>
      </c>
      <c r="D402" s="3681">
        <v>900000</v>
      </c>
      <c r="E402" s="3682"/>
      <c r="F402" s="10">
        <v>850000</v>
      </c>
      <c r="G402" s="45">
        <v>950000</v>
      </c>
    </row>
    <row r="403" spans="1:7" ht="13.5" thickBot="1">
      <c r="A403" s="11" t="s">
        <v>117</v>
      </c>
      <c r="B403" s="8" t="s">
        <v>512</v>
      </c>
      <c r="C403" s="9" t="s">
        <v>469</v>
      </c>
      <c r="D403" s="3681">
        <v>2000</v>
      </c>
      <c r="E403" s="3682"/>
      <c r="F403" s="10">
        <v>2000</v>
      </c>
      <c r="G403" s="45">
        <v>2000</v>
      </c>
    </row>
    <row r="404" spans="1:7" ht="13.5" thickBot="1">
      <c r="A404" s="11" t="s">
        <v>692</v>
      </c>
      <c r="B404" s="8" t="s">
        <v>279</v>
      </c>
      <c r="C404" s="9" t="s">
        <v>202</v>
      </c>
      <c r="D404" s="3681">
        <v>4</v>
      </c>
      <c r="E404" s="3682"/>
      <c r="F404" s="10">
        <v>4</v>
      </c>
      <c r="G404" s="45">
        <v>4</v>
      </c>
    </row>
    <row r="405" spans="1:7" ht="13.5" thickBot="1">
      <c r="A405" s="11" t="s">
        <v>693</v>
      </c>
      <c r="B405" s="8" t="s">
        <v>694</v>
      </c>
      <c r="C405" s="9" t="s">
        <v>202</v>
      </c>
      <c r="D405" s="3681">
        <v>5</v>
      </c>
      <c r="E405" s="3682"/>
      <c r="F405" s="10">
        <v>4</v>
      </c>
      <c r="G405" s="45">
        <v>6</v>
      </c>
    </row>
    <row r="406" spans="1:7" ht="14.25" thickBot="1">
      <c r="A406" s="3703" t="s">
        <v>56</v>
      </c>
      <c r="B406" s="3704"/>
      <c r="C406" s="3704"/>
      <c r="D406" s="3704"/>
      <c r="E406" s="3705"/>
      <c r="F406" s="3705"/>
      <c r="G406" s="49"/>
    </row>
    <row r="407" spans="1:7" ht="13.5" thickBot="1">
      <c r="A407" s="13" t="s">
        <v>159</v>
      </c>
      <c r="B407" s="18" t="s">
        <v>160</v>
      </c>
      <c r="C407" s="9" t="s">
        <v>202</v>
      </c>
      <c r="D407" s="3681">
        <v>3</v>
      </c>
      <c r="E407" s="3682"/>
      <c r="F407" s="10">
        <v>3</v>
      </c>
      <c r="G407" s="45">
        <v>2</v>
      </c>
    </row>
    <row r="408" spans="1:7" ht="13.5" thickBot="1">
      <c r="A408" s="13" t="s">
        <v>328</v>
      </c>
      <c r="B408" s="18" t="s">
        <v>1</v>
      </c>
      <c r="C408" s="9" t="s">
        <v>202</v>
      </c>
      <c r="D408" s="3681">
        <v>0</v>
      </c>
      <c r="E408" s="3682"/>
      <c r="F408" s="10">
        <v>0</v>
      </c>
      <c r="G408" s="45">
        <v>1</v>
      </c>
    </row>
    <row r="409" spans="1:7" ht="13.5" thickBot="1">
      <c r="A409" s="13" t="s">
        <v>63</v>
      </c>
      <c r="B409" s="18" t="s">
        <v>64</v>
      </c>
      <c r="C409" s="9" t="s">
        <v>314</v>
      </c>
      <c r="D409" s="3722"/>
      <c r="E409" s="3723"/>
      <c r="F409" s="8">
        <v>0.2</v>
      </c>
      <c r="G409" s="8">
        <v>1</v>
      </c>
    </row>
  </sheetData>
  <mergeCells count="538">
    <mergeCell ref="G336:G337"/>
    <mergeCell ref="D47:E47"/>
    <mergeCell ref="D14:E14"/>
    <mergeCell ref="D13:E13"/>
    <mergeCell ref="G56:G57"/>
    <mergeCell ref="G217:G218"/>
    <mergeCell ref="G309:G310"/>
    <mergeCell ref="D106:E106"/>
    <mergeCell ref="D105:E105"/>
    <mergeCell ref="D104:E104"/>
    <mergeCell ref="D103:E103"/>
    <mergeCell ref="D77:E77"/>
    <mergeCell ref="D76:E76"/>
    <mergeCell ref="D134:E134"/>
    <mergeCell ref="D116:E116"/>
    <mergeCell ref="D115:E115"/>
    <mergeCell ref="D114:E114"/>
    <mergeCell ref="D113:E113"/>
    <mergeCell ref="D112:E112"/>
    <mergeCell ref="D157:E157"/>
    <mergeCell ref="D156:E156"/>
    <mergeCell ref="D153:E153"/>
    <mergeCell ref="D152:E152"/>
    <mergeCell ref="D151:E151"/>
    <mergeCell ref="D187:E187"/>
    <mergeCell ref="D186:E186"/>
    <mergeCell ref="D178:E178"/>
    <mergeCell ref="D177:E177"/>
    <mergeCell ref="D161:E161"/>
    <mergeCell ref="D160:E160"/>
    <mergeCell ref="D271:E271"/>
    <mergeCell ref="D270:E270"/>
    <mergeCell ref="D247:E247"/>
    <mergeCell ref="D246:E246"/>
    <mergeCell ref="D191:E191"/>
    <mergeCell ref="D190:E190"/>
    <mergeCell ref="D258:E258"/>
    <mergeCell ref="D259:E259"/>
    <mergeCell ref="D260:E260"/>
    <mergeCell ref="D261:E261"/>
    <mergeCell ref="D262:E262"/>
    <mergeCell ref="D263:E263"/>
    <mergeCell ref="D252:E252"/>
    <mergeCell ref="D253:E253"/>
    <mergeCell ref="D254:E254"/>
    <mergeCell ref="D255:E255"/>
    <mergeCell ref="D256:E256"/>
    <mergeCell ref="A257:D257"/>
    <mergeCell ref="D313:E313"/>
    <mergeCell ref="D305:E305"/>
    <mergeCell ref="D304:E304"/>
    <mergeCell ref="D273:E273"/>
    <mergeCell ref="D272:E272"/>
    <mergeCell ref="D377:E377"/>
    <mergeCell ref="D376:E376"/>
    <mergeCell ref="D375:E375"/>
    <mergeCell ref="D362:E362"/>
    <mergeCell ref="D361:E361"/>
    <mergeCell ref="D358:E358"/>
    <mergeCell ref="D368:E368"/>
    <mergeCell ref="D369:E369"/>
    <mergeCell ref="D370:E370"/>
    <mergeCell ref="D371:E371"/>
    <mergeCell ref="D372:E372"/>
    <mergeCell ref="A373:D373"/>
    <mergeCell ref="E373:F373"/>
    <mergeCell ref="D363:E363"/>
    <mergeCell ref="D364:E364"/>
    <mergeCell ref="A365:D365"/>
    <mergeCell ref="E365:F365"/>
    <mergeCell ref="D366:E366"/>
    <mergeCell ref="D367:E367"/>
    <mergeCell ref="D408:E408"/>
    <mergeCell ref="D409:E409"/>
    <mergeCell ref="A83:F83"/>
    <mergeCell ref="D378:E378"/>
    <mergeCell ref="D403:E403"/>
    <mergeCell ref="D404:E404"/>
    <mergeCell ref="D405:E405"/>
    <mergeCell ref="A406:D406"/>
    <mergeCell ref="E406:F406"/>
    <mergeCell ref="D407:E407"/>
    <mergeCell ref="D399:E399"/>
    <mergeCell ref="A400:D400"/>
    <mergeCell ref="E400:F400"/>
    <mergeCell ref="A401:D401"/>
    <mergeCell ref="E401:F401"/>
    <mergeCell ref="D402:E402"/>
    <mergeCell ref="A395:D395"/>
    <mergeCell ref="E395:F395"/>
    <mergeCell ref="D396:E396"/>
    <mergeCell ref="A397:D397"/>
    <mergeCell ref="E397:F397"/>
    <mergeCell ref="A398:D398"/>
    <mergeCell ref="E398:F398"/>
    <mergeCell ref="D389:E389"/>
    <mergeCell ref="D390:E390"/>
    <mergeCell ref="D391:E391"/>
    <mergeCell ref="A392:F392"/>
    <mergeCell ref="D393:E393"/>
    <mergeCell ref="D394:E394"/>
    <mergeCell ref="D384:E384"/>
    <mergeCell ref="A385:D385"/>
    <mergeCell ref="E385:F385"/>
    <mergeCell ref="D386:E386"/>
    <mergeCell ref="D387:E387"/>
    <mergeCell ref="A388:D388"/>
    <mergeCell ref="E388:F388"/>
    <mergeCell ref="D379:E379"/>
    <mergeCell ref="D380:E380"/>
    <mergeCell ref="D381:E381"/>
    <mergeCell ref="A382:D382"/>
    <mergeCell ref="E382:F382"/>
    <mergeCell ref="A383:D383"/>
    <mergeCell ref="E383:F383"/>
    <mergeCell ref="A374:D374"/>
    <mergeCell ref="E374:F374"/>
    <mergeCell ref="A359:D359"/>
    <mergeCell ref="E359:F359"/>
    <mergeCell ref="A360:D360"/>
    <mergeCell ref="E360:F360"/>
    <mergeCell ref="A355:D355"/>
    <mergeCell ref="E355:F355"/>
    <mergeCell ref="A356:D356"/>
    <mergeCell ref="E356:F356"/>
    <mergeCell ref="D357:E357"/>
    <mergeCell ref="D350:E350"/>
    <mergeCell ref="D351:E351"/>
    <mergeCell ref="D352:E352"/>
    <mergeCell ref="D353:E353"/>
    <mergeCell ref="A354:D354"/>
    <mergeCell ref="E354:F354"/>
    <mergeCell ref="A344:F344"/>
    <mergeCell ref="D345:E345"/>
    <mergeCell ref="D346:E346"/>
    <mergeCell ref="D347:E347"/>
    <mergeCell ref="D348:E348"/>
    <mergeCell ref="A349:F349"/>
    <mergeCell ref="D338:E338"/>
    <mergeCell ref="D339:E339"/>
    <mergeCell ref="A340:F340"/>
    <mergeCell ref="A341:F341"/>
    <mergeCell ref="D342:E342"/>
    <mergeCell ref="A343:F343"/>
    <mergeCell ref="D333:E333"/>
    <mergeCell ref="D334:E334"/>
    <mergeCell ref="A335:F335"/>
    <mergeCell ref="A336:A337"/>
    <mergeCell ref="C336:C337"/>
    <mergeCell ref="D336:E337"/>
    <mergeCell ref="F336:F337"/>
    <mergeCell ref="D328:E328"/>
    <mergeCell ref="D329:E329"/>
    <mergeCell ref="A330:D330"/>
    <mergeCell ref="E330:F330"/>
    <mergeCell ref="D331:E331"/>
    <mergeCell ref="D332:E332"/>
    <mergeCell ref="D324:E324"/>
    <mergeCell ref="D325:E325"/>
    <mergeCell ref="A326:D326"/>
    <mergeCell ref="E326:F326"/>
    <mergeCell ref="A327:D327"/>
    <mergeCell ref="E327:F327"/>
    <mergeCell ref="D320:E320"/>
    <mergeCell ref="D321:E321"/>
    <mergeCell ref="A322:D322"/>
    <mergeCell ref="E322:F322"/>
    <mergeCell ref="A323:D323"/>
    <mergeCell ref="E323:F323"/>
    <mergeCell ref="D314:E314"/>
    <mergeCell ref="D315:E315"/>
    <mergeCell ref="D316:E316"/>
    <mergeCell ref="D317:E317"/>
    <mergeCell ref="D318:E318"/>
    <mergeCell ref="D319:E319"/>
    <mergeCell ref="F309:F310"/>
    <mergeCell ref="A311:D311"/>
    <mergeCell ref="E311:F311"/>
    <mergeCell ref="A312:D312"/>
    <mergeCell ref="E312:F312"/>
    <mergeCell ref="D306:E306"/>
    <mergeCell ref="D307:E307"/>
    <mergeCell ref="D308:E308"/>
    <mergeCell ref="A309:A310"/>
    <mergeCell ref="C309:C310"/>
    <mergeCell ref="D309:E310"/>
    <mergeCell ref="A302:D302"/>
    <mergeCell ref="E302:F302"/>
    <mergeCell ref="A303:D303"/>
    <mergeCell ref="E303:F303"/>
    <mergeCell ref="A297:D297"/>
    <mergeCell ref="E297:F297"/>
    <mergeCell ref="D298:E298"/>
    <mergeCell ref="D299:E299"/>
    <mergeCell ref="D300:E300"/>
    <mergeCell ref="A301:D301"/>
    <mergeCell ref="E301:F301"/>
    <mergeCell ref="D293:E293"/>
    <mergeCell ref="A294:D294"/>
    <mergeCell ref="E294:F294"/>
    <mergeCell ref="D295:E295"/>
    <mergeCell ref="A296:D296"/>
    <mergeCell ref="E296:F296"/>
    <mergeCell ref="D288:E288"/>
    <mergeCell ref="D289:E289"/>
    <mergeCell ref="A290:D290"/>
    <mergeCell ref="E290:F290"/>
    <mergeCell ref="D291:E291"/>
    <mergeCell ref="A292:D292"/>
    <mergeCell ref="E292:F292"/>
    <mergeCell ref="D282:E282"/>
    <mergeCell ref="D283:E283"/>
    <mergeCell ref="D284:E284"/>
    <mergeCell ref="D285:E285"/>
    <mergeCell ref="D286:E286"/>
    <mergeCell ref="D287:E287"/>
    <mergeCell ref="D277:E277"/>
    <mergeCell ref="D278:E278"/>
    <mergeCell ref="D279:E279"/>
    <mergeCell ref="A280:D280"/>
    <mergeCell ref="E280:F280"/>
    <mergeCell ref="A281:D281"/>
    <mergeCell ref="E281:F281"/>
    <mergeCell ref="A274:D274"/>
    <mergeCell ref="E274:F274"/>
    <mergeCell ref="A275:D275"/>
    <mergeCell ref="E275:F275"/>
    <mergeCell ref="A276:D276"/>
    <mergeCell ref="E276:F276"/>
    <mergeCell ref="A269:D269"/>
    <mergeCell ref="E269:F269"/>
    <mergeCell ref="A264:D264"/>
    <mergeCell ref="E264:F264"/>
    <mergeCell ref="D265:E265"/>
    <mergeCell ref="D266:E266"/>
    <mergeCell ref="D267:E267"/>
    <mergeCell ref="A268:D268"/>
    <mergeCell ref="E268:F268"/>
    <mergeCell ref="E257:F257"/>
    <mergeCell ref="D248:E248"/>
    <mergeCell ref="A249:D249"/>
    <mergeCell ref="E249:F249"/>
    <mergeCell ref="A250:D250"/>
    <mergeCell ref="E250:F250"/>
    <mergeCell ref="D251:E251"/>
    <mergeCell ref="A244:D244"/>
    <mergeCell ref="E244:F244"/>
    <mergeCell ref="A245:D245"/>
    <mergeCell ref="E245:F245"/>
    <mergeCell ref="D238:E238"/>
    <mergeCell ref="D239:E239"/>
    <mergeCell ref="D240:E240"/>
    <mergeCell ref="D241:E241"/>
    <mergeCell ref="D242:E242"/>
    <mergeCell ref="A243:D243"/>
    <mergeCell ref="E243:F243"/>
    <mergeCell ref="D234:E234"/>
    <mergeCell ref="A235:D235"/>
    <mergeCell ref="E235:F235"/>
    <mergeCell ref="A236:D236"/>
    <mergeCell ref="E236:F236"/>
    <mergeCell ref="D237:E237"/>
    <mergeCell ref="D230:E230"/>
    <mergeCell ref="A231:D231"/>
    <mergeCell ref="E231:F231"/>
    <mergeCell ref="A232:D232"/>
    <mergeCell ref="E232:F232"/>
    <mergeCell ref="D233:E233"/>
    <mergeCell ref="D224:E224"/>
    <mergeCell ref="D225:E225"/>
    <mergeCell ref="D226:E226"/>
    <mergeCell ref="D227:E227"/>
    <mergeCell ref="D228:E228"/>
    <mergeCell ref="D229:E229"/>
    <mergeCell ref="F217:F218"/>
    <mergeCell ref="D219:E219"/>
    <mergeCell ref="D220:E220"/>
    <mergeCell ref="D221:E221"/>
    <mergeCell ref="D222:E222"/>
    <mergeCell ref="A223:D223"/>
    <mergeCell ref="E223:F223"/>
    <mergeCell ref="D215:E215"/>
    <mergeCell ref="D216:E216"/>
    <mergeCell ref="A217:A218"/>
    <mergeCell ref="C217:C218"/>
    <mergeCell ref="D217:E218"/>
    <mergeCell ref="A211:D211"/>
    <mergeCell ref="E211:F211"/>
    <mergeCell ref="A212:D212"/>
    <mergeCell ref="E212:F212"/>
    <mergeCell ref="D213:E213"/>
    <mergeCell ref="A214:D214"/>
    <mergeCell ref="E214:F214"/>
    <mergeCell ref="D205:E205"/>
    <mergeCell ref="D206:E206"/>
    <mergeCell ref="D207:E207"/>
    <mergeCell ref="D208:E208"/>
    <mergeCell ref="D209:E209"/>
    <mergeCell ref="D210:E210"/>
    <mergeCell ref="D201:E201"/>
    <mergeCell ref="A202:D202"/>
    <mergeCell ref="E202:F202"/>
    <mergeCell ref="A203:D203"/>
    <mergeCell ref="E203:F203"/>
    <mergeCell ref="A204:D204"/>
    <mergeCell ref="E204:F204"/>
    <mergeCell ref="D196:E196"/>
    <mergeCell ref="D197:E197"/>
    <mergeCell ref="D198:E198"/>
    <mergeCell ref="A199:D199"/>
    <mergeCell ref="E199:F199"/>
    <mergeCell ref="D200:E200"/>
    <mergeCell ref="D192:E192"/>
    <mergeCell ref="D193:E193"/>
    <mergeCell ref="A194:D194"/>
    <mergeCell ref="E194:F194"/>
    <mergeCell ref="A195:D195"/>
    <mergeCell ref="E195:F195"/>
    <mergeCell ref="A188:D188"/>
    <mergeCell ref="E188:F188"/>
    <mergeCell ref="A189:D189"/>
    <mergeCell ref="E189:F189"/>
    <mergeCell ref="A184:D184"/>
    <mergeCell ref="E184:F184"/>
    <mergeCell ref="A185:D185"/>
    <mergeCell ref="E185:F185"/>
    <mergeCell ref="D179:E179"/>
    <mergeCell ref="A180:D180"/>
    <mergeCell ref="E180:F180"/>
    <mergeCell ref="A181:D181"/>
    <mergeCell ref="E181:F181"/>
    <mergeCell ref="A182:A183"/>
    <mergeCell ref="D182:E182"/>
    <mergeCell ref="D183:E183"/>
    <mergeCell ref="A175:D175"/>
    <mergeCell ref="E175:F175"/>
    <mergeCell ref="A176:D176"/>
    <mergeCell ref="E176:F176"/>
    <mergeCell ref="A172:D172"/>
    <mergeCell ref="E172:F172"/>
    <mergeCell ref="A173:D173"/>
    <mergeCell ref="E173:F173"/>
    <mergeCell ref="D167:E167"/>
    <mergeCell ref="D168:E168"/>
    <mergeCell ref="D169:E169"/>
    <mergeCell ref="D170:E170"/>
    <mergeCell ref="A171:D171"/>
    <mergeCell ref="E171:F171"/>
    <mergeCell ref="D162:E162"/>
    <mergeCell ref="D163:E163"/>
    <mergeCell ref="D164:E164"/>
    <mergeCell ref="A165:D165"/>
    <mergeCell ref="E165:F165"/>
    <mergeCell ref="D166:E166"/>
    <mergeCell ref="A158:D158"/>
    <mergeCell ref="E158:F158"/>
    <mergeCell ref="A159:D159"/>
    <mergeCell ref="E159:F159"/>
    <mergeCell ref="A154:D154"/>
    <mergeCell ref="E154:F154"/>
    <mergeCell ref="A155:D155"/>
    <mergeCell ref="E155:F155"/>
    <mergeCell ref="A149:D149"/>
    <mergeCell ref="E149:F149"/>
    <mergeCell ref="D144:E144"/>
    <mergeCell ref="D145:E145"/>
    <mergeCell ref="D146:E146"/>
    <mergeCell ref="D147:E147"/>
    <mergeCell ref="A148:D148"/>
    <mergeCell ref="E148:F148"/>
    <mergeCell ref="D150:E150"/>
    <mergeCell ref="A141:D141"/>
    <mergeCell ref="E141:F141"/>
    <mergeCell ref="A142:D142"/>
    <mergeCell ref="E142:F142"/>
    <mergeCell ref="A143:D143"/>
    <mergeCell ref="E143:F143"/>
    <mergeCell ref="D135:E135"/>
    <mergeCell ref="D136:E136"/>
    <mergeCell ref="D137:E137"/>
    <mergeCell ref="D138:E138"/>
    <mergeCell ref="D139:E139"/>
    <mergeCell ref="D140:E140"/>
    <mergeCell ref="A131:D131"/>
    <mergeCell ref="E131:F131"/>
    <mergeCell ref="D132:E132"/>
    <mergeCell ref="A133:D133"/>
    <mergeCell ref="E133:F133"/>
    <mergeCell ref="A127:D127"/>
    <mergeCell ref="E127:F127"/>
    <mergeCell ref="D128:E128"/>
    <mergeCell ref="D129:E129"/>
    <mergeCell ref="A130:D130"/>
    <mergeCell ref="E130:F130"/>
    <mergeCell ref="A123:D123"/>
    <mergeCell ref="E123:F123"/>
    <mergeCell ref="D124:E124"/>
    <mergeCell ref="A125:D125"/>
    <mergeCell ref="E125:F125"/>
    <mergeCell ref="A126:D126"/>
    <mergeCell ref="E126:F126"/>
    <mergeCell ref="D119:E119"/>
    <mergeCell ref="A120:D120"/>
    <mergeCell ref="E120:F120"/>
    <mergeCell ref="A121:D121"/>
    <mergeCell ref="E121:F121"/>
    <mergeCell ref="D122:E122"/>
    <mergeCell ref="D117:E117"/>
    <mergeCell ref="D118:E118"/>
    <mergeCell ref="B112:B116"/>
    <mergeCell ref="D107:E107"/>
    <mergeCell ref="B108:B111"/>
    <mergeCell ref="D108:E108"/>
    <mergeCell ref="D109:E109"/>
    <mergeCell ref="D110:E110"/>
    <mergeCell ref="D111:E111"/>
    <mergeCell ref="A103:A104"/>
    <mergeCell ref="B103:B104"/>
    <mergeCell ref="D98:E98"/>
    <mergeCell ref="D99:E99"/>
    <mergeCell ref="D100:E100"/>
    <mergeCell ref="D101:E101"/>
    <mergeCell ref="A102:D102"/>
    <mergeCell ref="E102:F102"/>
    <mergeCell ref="D92:E92"/>
    <mergeCell ref="D93:E93"/>
    <mergeCell ref="D94:E94"/>
    <mergeCell ref="D95:E95"/>
    <mergeCell ref="D96:E96"/>
    <mergeCell ref="D97:E97"/>
    <mergeCell ref="D86:E86"/>
    <mergeCell ref="D87:E87"/>
    <mergeCell ref="D88:E88"/>
    <mergeCell ref="D89:E89"/>
    <mergeCell ref="D90:E90"/>
    <mergeCell ref="D91:E91"/>
    <mergeCell ref="D84:E84"/>
    <mergeCell ref="D85:E85"/>
    <mergeCell ref="D78:E78"/>
    <mergeCell ref="B79:B80"/>
    <mergeCell ref="D79:E79"/>
    <mergeCell ref="D80:E80"/>
    <mergeCell ref="D81:E81"/>
    <mergeCell ref="A82:D82"/>
    <mergeCell ref="E82:F82"/>
    <mergeCell ref="A74:D74"/>
    <mergeCell ref="E74:F74"/>
    <mergeCell ref="A75:D75"/>
    <mergeCell ref="E75:F75"/>
    <mergeCell ref="D69:E69"/>
    <mergeCell ref="D70:E70"/>
    <mergeCell ref="D71:E71"/>
    <mergeCell ref="D72:E72"/>
    <mergeCell ref="A73:D73"/>
    <mergeCell ref="E73:F73"/>
    <mergeCell ref="D63:E63"/>
    <mergeCell ref="D64:E64"/>
    <mergeCell ref="D65:E65"/>
    <mergeCell ref="D66:E66"/>
    <mergeCell ref="D67:E67"/>
    <mergeCell ref="D68:E68"/>
    <mergeCell ref="D59:E59"/>
    <mergeCell ref="D60:E60"/>
    <mergeCell ref="A61:D61"/>
    <mergeCell ref="E61:F61"/>
    <mergeCell ref="A62:D62"/>
    <mergeCell ref="E62:F62"/>
    <mergeCell ref="A53:D53"/>
    <mergeCell ref="E53:F53"/>
    <mergeCell ref="D54:E54"/>
    <mergeCell ref="D55:E55"/>
    <mergeCell ref="B56:B60"/>
    <mergeCell ref="C56:C60"/>
    <mergeCell ref="D56:E57"/>
    <mergeCell ref="F56:F57"/>
    <mergeCell ref="D58:E58"/>
    <mergeCell ref="D48:E48"/>
    <mergeCell ref="D49:E49"/>
    <mergeCell ref="A50:D50"/>
    <mergeCell ref="E50:F50"/>
    <mergeCell ref="D51:E51"/>
    <mergeCell ref="D52:E52"/>
    <mergeCell ref="A44:D44"/>
    <mergeCell ref="E44:F44"/>
    <mergeCell ref="D45:E45"/>
    <mergeCell ref="A46:D46"/>
    <mergeCell ref="E46:F46"/>
    <mergeCell ref="A39:D39"/>
    <mergeCell ref="E39:F39"/>
    <mergeCell ref="D40:E40"/>
    <mergeCell ref="D41:E41"/>
    <mergeCell ref="D42:E42"/>
    <mergeCell ref="A43:D43"/>
    <mergeCell ref="E43:F43"/>
    <mergeCell ref="D34:E34"/>
    <mergeCell ref="A35:D35"/>
    <mergeCell ref="E35:F35"/>
    <mergeCell ref="D36:E36"/>
    <mergeCell ref="D37:E37"/>
    <mergeCell ref="A38:D38"/>
    <mergeCell ref="E38:F38"/>
    <mergeCell ref="D29:E29"/>
    <mergeCell ref="D30:E30"/>
    <mergeCell ref="D32:E32"/>
    <mergeCell ref="D33:E33"/>
    <mergeCell ref="D24:E24"/>
    <mergeCell ref="D25:E25"/>
    <mergeCell ref="D26:E26"/>
    <mergeCell ref="D27:E27"/>
    <mergeCell ref="D19:E19"/>
    <mergeCell ref="D20:E20"/>
    <mergeCell ref="A21:D21"/>
    <mergeCell ref="E21:F21"/>
    <mergeCell ref="D22:E22"/>
    <mergeCell ref="D23:E23"/>
    <mergeCell ref="D15:E15"/>
    <mergeCell ref="D16:E16"/>
    <mergeCell ref="A17:D17"/>
    <mergeCell ref="E17:F17"/>
    <mergeCell ref="A18:D18"/>
    <mergeCell ref="E18:F18"/>
    <mergeCell ref="A11:D11"/>
    <mergeCell ref="E11:F11"/>
    <mergeCell ref="A12:D12"/>
    <mergeCell ref="E12:F12"/>
    <mergeCell ref="A6:F6"/>
    <mergeCell ref="A7:F7"/>
    <mergeCell ref="D8:E8"/>
    <mergeCell ref="D9:E9"/>
    <mergeCell ref="A10:D10"/>
    <mergeCell ref="E10:F10"/>
    <mergeCell ref="D2:E2"/>
    <mergeCell ref="D3:E3"/>
    <mergeCell ref="A4:A5"/>
    <mergeCell ref="B4:B5"/>
    <mergeCell ref="C4:C5"/>
    <mergeCell ref="D4:E4"/>
    <mergeCell ref="D5:E5"/>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RowHeight="12.75"/>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as" ma:contentTypeID="0x010100B87D4BCFE74A8D4FB019E0672E160482" ma:contentTypeVersion="6" ma:contentTypeDescription="Kurkite naują dokumentą." ma:contentTypeScope="" ma:versionID="1e92d3ff2fc1bd40a6fa9736524024bd">
  <xsd:schema xmlns:xsd="http://www.w3.org/2001/XMLSchema" xmlns:xs="http://www.w3.org/2001/XMLSchema" xmlns:p="http://schemas.microsoft.com/office/2006/metadata/properties" xmlns:ns3="e726bec3-c126-4072-9561-c86e144e30c1" targetNamespace="http://schemas.microsoft.com/office/2006/metadata/properties" ma:root="true" ma:fieldsID="79bf30b21a240a9fe518b870277f6d43" ns3:_="">
    <xsd:import namespace="e726bec3-c126-4072-9561-c86e144e30c1"/>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26bec3-c126-4072-9561-c86e144e30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e726bec3-c126-4072-9561-c86e144e30c1" xsi:nil="true"/>
  </documentManagement>
</p:properties>
</file>

<file path=customXml/itemProps1.xml><?xml version="1.0" encoding="utf-8"?>
<ds:datastoreItem xmlns:ds="http://schemas.openxmlformats.org/officeDocument/2006/customXml" ds:itemID="{8D2A7829-7002-47E1-BD84-507E36904F6A}">
  <ds:schemaRefs>
    <ds:schemaRef ds:uri="http://schemas.microsoft.com/sharepoint/v3/contenttype/forms"/>
  </ds:schemaRefs>
</ds:datastoreItem>
</file>

<file path=customXml/itemProps2.xml><?xml version="1.0" encoding="utf-8"?>
<ds:datastoreItem xmlns:ds="http://schemas.openxmlformats.org/officeDocument/2006/customXml" ds:itemID="{5A4BEF24-2AB9-4231-AC31-45A8F5E604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26bec3-c126-4072-9561-c86e144e30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C32590-FA36-4FB5-8FBC-67B30DFAC1FD}">
  <ds:schemaRefs>
    <ds:schemaRef ds:uri="http://purl.org/dc/terms/"/>
    <ds:schemaRef ds:uri="http://purl.org/dc/dcmitype/"/>
    <ds:schemaRef ds:uri="http://schemas.microsoft.com/office/2006/documentManagement/types"/>
    <ds:schemaRef ds:uri="http://purl.org/dc/elements/1.1/"/>
    <ds:schemaRef ds:uri="e726bec3-c126-4072-9561-c86e144e30c1"/>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21</vt:i4>
      </vt:variant>
      <vt:variant>
        <vt:lpstr>Įvardytieji diapazonai</vt:lpstr>
      </vt:variant>
      <vt:variant>
        <vt:i4>16</vt:i4>
      </vt:variant>
    </vt:vector>
  </HeadingPairs>
  <TitlesOfParts>
    <vt:vector size="37" baseType="lpstr">
      <vt:lpstr>I skyrius </vt:lpstr>
      <vt:lpstr>II skyrius</vt:lpstr>
      <vt:lpstr>III skyrius. 2023-2030  m. </vt:lpstr>
      <vt:lpstr>IV skyrius</vt:lpstr>
      <vt:lpstr>V skyrius. Programos</vt:lpstr>
      <vt:lpstr>1 programa </vt:lpstr>
      <vt:lpstr>2 programa </vt:lpstr>
      <vt:lpstr>ĮV-E-123 stebėsenos rodikliai</vt:lpstr>
      <vt:lpstr>3 programa</vt:lpstr>
      <vt:lpstr>4 programa</vt:lpstr>
      <vt:lpstr>5 programa</vt:lpstr>
      <vt:lpstr>6 programa</vt:lpstr>
      <vt:lpstr>7 programa</vt:lpstr>
      <vt:lpstr>8 programa</vt:lpstr>
      <vt:lpstr>9 programa</vt:lpstr>
      <vt:lpstr>10 programa</vt:lpstr>
      <vt:lpstr>VI skyrius VŠĮ+UAB rodikliai</vt:lpstr>
      <vt:lpstr>VII skyrius. Kita svarbi info</vt:lpstr>
      <vt:lpstr>Suvestinė pagal FŠ</vt:lpstr>
      <vt:lpstr>Vertinimo kriterijai</vt:lpstr>
      <vt:lpstr>Lapas3</vt:lpstr>
      <vt:lpstr>'II skyrius'!_Hlk122275804</vt:lpstr>
      <vt:lpstr>'VI skyrius VŠĮ+UAB rodikliai'!_Hlk92374960</vt:lpstr>
      <vt:lpstr>'VI skyrius VŠĮ+UAB rodikliai'!_Hlk92375563</vt:lpstr>
      <vt:lpstr>'VI skyrius VŠĮ+UAB rodikliai'!_Hlk92375700</vt:lpstr>
      <vt:lpstr>'VI skyrius VŠĮ+UAB rodikliai'!_Hlk92376639</vt:lpstr>
      <vt:lpstr>'VI skyrius VŠĮ+UAB rodikliai'!_Toc123901359</vt:lpstr>
      <vt:lpstr>'Vertinimo kriterijai'!_Toc506024955</vt:lpstr>
      <vt:lpstr>'1 programa '!Print_Area</vt:lpstr>
      <vt:lpstr>'10 programa'!Print_Area</vt:lpstr>
      <vt:lpstr>'5 programa'!Print_Area</vt:lpstr>
      <vt:lpstr>'7 programa'!Print_Area</vt:lpstr>
      <vt:lpstr>'I skyrius '!Print_Area</vt:lpstr>
      <vt:lpstr>'II skyrius'!Print_Area</vt:lpstr>
      <vt:lpstr>'IV skyrius'!Print_Area</vt:lpstr>
      <vt:lpstr>'V skyrius. Programos'!Print_Area</vt:lpstr>
      <vt:lpstr>'VII skyrius. Kita svarbi info'!Print_Area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Liudmila</dc:creator>
  <cp:lastModifiedBy>bendras9</cp:lastModifiedBy>
  <cp:lastPrinted>2025-01-13T14:44:34Z</cp:lastPrinted>
  <dcterms:created xsi:type="dcterms:W3CDTF">2012-11-22T11:23:10Z</dcterms:created>
  <dcterms:modified xsi:type="dcterms:W3CDTF">2025-01-31T08:40:40Z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0x010100B87D4BCFE74A8D4FB019E0672E160482</vt:lpwstr>
  </property>
</Properties>
</file>